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N:\HSAB (Monroe Co)\2025\"/>
    </mc:Choice>
  </mc:AlternateContent>
  <xr:revisionPtr revIDLastSave="0" documentId="13_ncr:1_{8D283BB6-90F0-40EE-B8AB-E2FF93DB0930}" xr6:coauthVersionLast="47" xr6:coauthVersionMax="47" xr10:uidLastSave="{00000000-0000-0000-0000-000000000000}"/>
  <workbookProtection lockStructure="1"/>
  <bookViews>
    <workbookView xWindow="-120" yWindow="-120" windowWidth="38640" windowHeight="21120" activeTab="2" xr2:uid="{00000000-000D-0000-FFFF-FFFF00000000}"/>
  </bookViews>
  <sheets>
    <sheet name="Instructions" sheetId="1" r:id="rId1"/>
    <sheet name="Summary" sheetId="2" r:id="rId2"/>
    <sheet name="1" sheetId="3" r:id="rId3"/>
    <sheet name="Response Options (hidden)" sheetId="4" state="veryHidden" r:id="rId4"/>
  </sheets>
  <definedNames>
    <definedName name="responseOption0">'Response Options (hidden)'!$A$1:$A$3</definedName>
    <definedName name="responseOption1">'Response Options (hidden)'!$D$1:$D$2</definedName>
    <definedName name="responseOption2">'Response Options (hidden)'!$G$1:$G$2</definedName>
    <definedName name="responseOption3">'Response Options (hidden)'!$J$1:$J$2</definedName>
    <definedName name="responseOption4">'Response Options (hidden)'!$M$1:$M$2</definedName>
    <definedName name="responseOption5">'Response Options (hidden)'!$P$1:$P$2</definedName>
    <definedName name="responseOption6">'Response Options (hidden)'!$S$1:$S$2</definedName>
    <definedName name="responseValidationRulesGroup0">'Response Options (hidden)'!$A$1:$C$4</definedName>
    <definedName name="responseValidationRulesGroup1">'Response Options (hidden)'!$D$1:$F$3</definedName>
    <definedName name="responseValidationRulesGroup2">'Response Options (hidden)'!$G$1:$I$3</definedName>
    <definedName name="responseValidationRulesGroup3">'Response Options (hidden)'!$J$1:$L$3</definedName>
    <definedName name="responseValidationRulesGroup4">'Response Options (hidden)'!$M$1:$O$3</definedName>
    <definedName name="responseValidationRulesGroup5">'Response Options (hidden)'!$P$1:$R$3</definedName>
    <definedName name="responseValidationRulesGroup6">'Response Options (hidden)'!$S$1:$U$3</definedName>
  </definedName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4" l="1"/>
  <c r="B3" i="4"/>
  <c r="U2" i="4"/>
  <c r="T2" i="4"/>
  <c r="H31" i="3" s="1"/>
  <c r="R2" i="4"/>
  <c r="Q2" i="4"/>
  <c r="O2" i="4"/>
  <c r="N2" i="4"/>
  <c r="L2" i="4"/>
  <c r="K2" i="4"/>
  <c r="I2" i="4"/>
  <c r="H2" i="4"/>
  <c r="F2" i="4"/>
  <c r="E2" i="4"/>
  <c r="C2" i="4"/>
  <c r="B2" i="4"/>
  <c r="U1" i="4"/>
  <c r="T1" i="4"/>
  <c r="R1" i="4"/>
  <c r="Q1" i="4"/>
  <c r="O1" i="4"/>
  <c r="N1" i="4"/>
  <c r="L1" i="4"/>
  <c r="K1" i="4"/>
  <c r="I1" i="4"/>
  <c r="H1" i="4"/>
  <c r="F1" i="4"/>
  <c r="E1" i="4"/>
  <c r="C1" i="4"/>
  <c r="B1" i="4"/>
  <c r="C33" i="3"/>
  <c r="H32" i="3"/>
  <c r="H30" i="3"/>
  <c r="H29" i="3"/>
  <c r="H28" i="3"/>
  <c r="H27" i="3"/>
  <c r="H25" i="3"/>
  <c r="H24" i="3"/>
  <c r="H18" i="3"/>
  <c r="H17" i="3"/>
  <c r="H16" i="3"/>
  <c r="H15" i="3"/>
  <c r="H14" i="3"/>
  <c r="H13" i="3"/>
  <c r="H11" i="3"/>
  <c r="H22" i="3" l="1"/>
  <c r="H26" i="3"/>
  <c r="H20" i="3"/>
  <c r="H23" i="3"/>
  <c r="H21" i="3"/>
  <c r="H12" i="3"/>
  <c r="H19" i="3"/>
  <c r="C11" i="2"/>
  <c r="C14" i="2" s="1"/>
  <c r="F33" i="3" l="1"/>
  <c r="E11" i="2" s="1"/>
  <c r="BF11" i="2"/>
  <c r="AX12" i="2" l="1"/>
  <c r="BC12" i="2"/>
  <c r="BD12" i="2"/>
  <c r="AB12" i="2"/>
  <c r="AW12" i="2"/>
  <c r="L12" i="2"/>
  <c r="J12" i="2"/>
  <c r="AT12" i="2"/>
  <c r="AU12" i="2"/>
  <c r="K12" i="2"/>
  <c r="AN12" i="2"/>
  <c r="AO12" i="2"/>
  <c r="AY12" i="2"/>
  <c r="E14" i="2"/>
  <c r="AJ15" i="2" s="1"/>
  <c r="Q12" i="2"/>
  <c r="Y12" i="2"/>
  <c r="BA12" i="2"/>
  <c r="I12" i="2"/>
  <c r="S12" i="2"/>
  <c r="AH12" i="2"/>
  <c r="AC12" i="2"/>
  <c r="AL12" i="2"/>
  <c r="AV12" i="2"/>
  <c r="AE12" i="2"/>
  <c r="AF12" i="2"/>
  <c r="AG12" i="2"/>
  <c r="G12" i="2"/>
  <c r="AS12" i="2"/>
  <c r="AM12" i="2"/>
  <c r="V12" i="2"/>
  <c r="W12" i="2"/>
  <c r="X12" i="2"/>
  <c r="H12" i="2"/>
  <c r="P12" i="2"/>
  <c r="AD12" i="2"/>
  <c r="AQ12" i="2"/>
  <c r="N12" i="2"/>
  <c r="O12" i="2"/>
  <c r="AR12" i="2"/>
  <c r="AP12" i="2"/>
  <c r="M12" i="2"/>
  <c r="AA12" i="2"/>
  <c r="AJ12" i="2"/>
  <c r="AI12" i="2"/>
  <c r="Z12" i="2"/>
  <c r="BB12" i="2"/>
  <c r="AZ12" i="2"/>
  <c r="AK12" i="2"/>
  <c r="T12" i="2"/>
  <c r="R12" i="2"/>
  <c r="U12" i="2"/>
  <c r="AP15" i="2" l="1"/>
  <c r="M15" i="2"/>
  <c r="S15" i="2"/>
  <c r="X15" i="2"/>
  <c r="AK15" i="2"/>
  <c r="Q15" i="2"/>
  <c r="O15" i="2"/>
  <c r="AX15" i="2"/>
  <c r="AS15" i="2"/>
  <c r="AZ15" i="2"/>
  <c r="AL15" i="2"/>
  <c r="J15" i="2"/>
  <c r="AN15" i="2"/>
  <c r="H15" i="2"/>
  <c r="AM15" i="2"/>
  <c r="AD15" i="2"/>
  <c r="AO15" i="2"/>
  <c r="AC15" i="2"/>
  <c r="W15" i="2"/>
  <c r="BC15" i="2"/>
  <c r="K15" i="2"/>
  <c r="Y15" i="2"/>
  <c r="L15" i="2"/>
  <c r="Z15" i="2"/>
  <c r="AI15" i="2"/>
  <c r="BD15" i="2"/>
  <c r="I15" i="2"/>
  <c r="AF15" i="2"/>
  <c r="AW15" i="2"/>
  <c r="AU15" i="2"/>
  <c r="G15" i="2"/>
  <c r="AE15" i="2"/>
  <c r="AQ15" i="2"/>
  <c r="N15" i="2"/>
  <c r="AG15" i="2"/>
  <c r="T15" i="2"/>
  <c r="AT15" i="2"/>
  <c r="AA15" i="2"/>
  <c r="U15" i="2"/>
  <c r="R15" i="2"/>
  <c r="P15" i="2"/>
  <c r="AH15" i="2"/>
  <c r="BB15" i="2"/>
  <c r="AV15" i="2"/>
  <c r="BA15" i="2"/>
  <c r="AY15" i="2"/>
  <c r="V15" i="2"/>
  <c r="AR15" i="2"/>
  <c r="AB15" i="2"/>
</calcChain>
</file>

<file path=xl/sharedStrings.xml><?xml version="1.0" encoding="utf-8"?>
<sst xmlns="http://schemas.openxmlformats.org/spreadsheetml/2006/main" count="106" uniqueCount="91">
  <si>
    <t>e968cbc4cc6140c23202c2b62c912c1bb5db3488e76d3887da682f5b0c7672f3582719bda072a0cde45076b4c2cff08b7a0d8cf88b82e35adf038f063806c20bXdMPkiSzkoSnQ0Y8Lr9N4ZtXSKIhkfK89h9imPl2IL5Jed7/Q25moQ9y5V/KpiC+</t>
  </si>
  <si>
    <t>HSAB Applicant Questions (Q-59IT)</t>
  </si>
  <si>
    <t>Instructions</t>
  </si>
  <si>
    <t>- The Summary worksheet displays your overall progress for the questionnaire.
- The worksheets numbered from 1 to N represent question sets.
- For each question set, select a response from the dropdown (if applicable) and enter a response comment for each question in the table.
- If specific instructions have been provided for a given subset, they will appear as a tooltip for a purple cell. Mouse-over to review them.
-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do not use Excel formulas in your responses.
- Please follow the instructions provided along with this file to submit it back to Bonfire.
- If you have any questions regarding the content of this file, please contact the appropriate purchaser.
- If you have any technical problems, please contact Bonfire at Support@GoBonfire.com.</t>
  </si>
  <si>
    <t>Additional Instructions</t>
  </si>
  <si>
    <t>Summary tab shows progress completed, Tab 1 contains the questions to be answered.</t>
  </si>
  <si>
    <t>Total</t>
  </si>
  <si>
    <t>Summary</t>
  </si>
  <si>
    <t>Question Set</t>
  </si>
  <si>
    <t>Questions</t>
  </si>
  <si>
    <t>Hide Me</t>
  </si>
  <si>
    <t>% Complete</t>
  </si>
  <si>
    <t>Progress</t>
  </si>
  <si>
    <t>Error?</t>
  </si>
  <si>
    <t>Question Set 1: Questions</t>
  </si>
  <si>
    <t>#</t>
  </si>
  <si>
    <t>Question</t>
  </si>
  <si>
    <t>Response</t>
  </si>
  <si>
    <t>Comment</t>
  </si>
  <si>
    <t>Status</t>
  </si>
  <si>
    <t>General Use of Funds</t>
  </si>
  <si>
    <t>1.1.1</t>
  </si>
  <si>
    <t xml:space="preserve">
Amount requested for the upcoming fiscal year and select the category that best matches the proposed services. If the proposed program involves more than one (1) category enter the budget request for each category.
-Medical Services: Medical, mental, and dental care for the economically disadvantaged.
-Core Social Services: Essential services such as food clothing or housing: emergency disaster; family violence; and adult and child daycare.
-Quality of Life Improvement Services: Services provided to improve the quality of life for individuals or the community such as educational, preventative, training, recreational, and cultural services; etc.
</t>
  </si>
  <si>
    <t>1.1.2</t>
  </si>
  <si>
    <t xml:space="preserve">
Insert your agency’s board-approved mission statement only.
</t>
  </si>
  <si>
    <t>1.1.3</t>
  </si>
  <si>
    <t xml:space="preserve">
List the services your agency provides.
</t>
  </si>
  <si>
    <t>1.1.4</t>
  </si>
  <si>
    <t xml:space="preserve">
For fiscal year 2026, specifically how will the amount requested be utilized?
</t>
  </si>
  <si>
    <t>Cover Letter</t>
  </si>
  <si>
    <t>1.2.1</t>
  </si>
  <si>
    <t xml:space="preserve">
I: Provide a brief overview of your organization, what unique role in the community does your organization's proposed program fulfill that no one else does? 
II: Collaboration between agencies can bring cost-savings for all. Please describe any current cost-sharing measures, overlap, common associations, common services, networking and working relationships, or sub-contractor relationships you are involved in with any other organizations. Examples may include, but aren't limited to, shared services such as human resources, payroll processing, or IT, board members, or personnel.
</t>
  </si>
  <si>
    <t>Application Questions</t>
  </si>
  <si>
    <t>1.3.1</t>
  </si>
  <si>
    <t xml:space="preserve">
Have you previously been funded by HSAB?
</t>
  </si>
  <si>
    <t>1.3.2</t>
  </si>
  <si>
    <t xml:space="preserve">
Will County HSAB funds be used as match for a grant?
</t>
  </si>
  <si>
    <t>1.3.3</t>
  </si>
  <si>
    <t xml:space="preserve">
Have you experienced any changes specific to expansion or contraction of services, staff or location.
</t>
  </si>
  <si>
    <t>1.3.4</t>
  </si>
  <si>
    <t xml:space="preserve">
Did your agency lose any funding, or partial funding in 2025?
</t>
  </si>
  <si>
    <t>1.3.5</t>
  </si>
  <si>
    <t xml:space="preserve">
Will you or have you applied for other sources of County funding? 
(Please include these on the Agency Revenue form)
</t>
  </si>
  <si>
    <t>1.3.6</t>
  </si>
  <si>
    <t xml:space="preserve">
Describe your target population as specifically as possible.
</t>
  </si>
  <si>
    <t>1.3.7</t>
  </si>
  <si>
    <t xml:space="preserve">
How are clients referred to your agency?
</t>
  </si>
  <si>
    <t>1.3.8</t>
  </si>
  <si>
    <t xml:space="preserve">
Have you failed to submit any required reimbursement request, or the annual performance report as required by the grant agreement?
</t>
  </si>
  <si>
    <t>1.3.9</t>
  </si>
  <si>
    <t xml:space="preserve">
__________ hours of program service were contributed by ____________ volunteers in the last year (FY2023 - October 1, 2023 through September 30, 2024).
</t>
  </si>
  <si>
    <t>1.3.10</t>
  </si>
  <si>
    <t xml:space="preserve">
What measurable outcomes do you plan to accomplish in the next funding year and how will you measure these?
</t>
  </si>
  <si>
    <t>1.3.11</t>
  </si>
  <si>
    <t xml:space="preserve">
Provide information about units of service in the format below. (Response not required is applying for $5,000 or less).
Service: ______      Unit (Hour, session, day, etc.): ________       Cost charged per unit to client (range for current year): _____________
</t>
  </si>
  <si>
    <t>1.3.12</t>
  </si>
  <si>
    <t xml:space="preserve">
What is the current number of employees, full-time and part-time, on the payroll for the entire organization? How many employees ("snapshot") does your organization have as of today's date?
</t>
  </si>
  <si>
    <t>1.3.13</t>
  </si>
  <si>
    <t xml:space="preserve">
Is your organization fully staffed?
</t>
  </si>
  <si>
    <t>1.3.14</t>
  </si>
  <si>
    <t xml:space="preserve">
Address any topics not covered or include any additional information you would like the board to know (optional). Documents can be added in file uploads as under additional documentation.
</t>
  </si>
  <si>
    <t>Medical Services</t>
  </si>
  <si>
    <t>Core Social Services</t>
  </si>
  <si>
    <t>Quality of Life Improvement Services</t>
  </si>
  <si>
    <t>Medical Services, Core Social Services, Quality of Life Improvement Services</t>
  </si>
  <si>
    <t>Yes</t>
  </si>
  <si>
    <t>No</t>
  </si>
  <si>
    <t>Yes, No</t>
  </si>
  <si>
    <t>Yes; what changed?</t>
  </si>
  <si>
    <t>Yes; what changed?, No</t>
  </si>
  <si>
    <t>Yes; How much? From what source? Why was funding lost?</t>
  </si>
  <si>
    <t>Yes; How much? From what source? Why was funding lost?, No</t>
  </si>
  <si>
    <t>Yes - Please list source(s) and amount(s).</t>
  </si>
  <si>
    <t>Yes - Please list source(s) and amount(s)., No</t>
  </si>
  <si>
    <t>Yes - Please explain why you failed to meet the deadline</t>
  </si>
  <si>
    <t>Yes - Please explain why you failed to meet the deadline, No</t>
  </si>
  <si>
    <t>No - What positions are open &amp; why? How does this impact your services?</t>
  </si>
  <si>
    <t>Yes, No - What positions are open &amp; why? How does this impact your services?</t>
  </si>
  <si>
    <t xml:space="preserve">
                                                                          MISSION STATEMENT
The Rural Health Network (RHN) of Monroe County, Florida, Inc, is a community-based, non-for-profit organization that operates a comprehensive, culturally competent, high-quality health care center for Monroe County, FL.
​
RHN offers access to affordable care to all members of the community, regardless of their ability to pay.  We accept Medicare, Medicaid, Tricare, and most major insurance plans.
For self-pay patients, we offer a discounted sliding fee scale, based on a patient’s income and household size, as well as a Dental Savings Plan option.
 No fees for those disadvantaged in the community.
To provide these services, RHN is supported by generous grants from the Health Resources &amp; Services Administration (known as HRSA) under the U.S. Department of Health and Human Services, as well as the State of Florida. 
​
RHN has Federal Public Health Service (PHS) deemed status with respect to certain health or health-related claims, including medical malpractice claims, for itself and its covered individuals.</t>
  </si>
  <si>
    <t>Pediatric &amp; Adult General Dentistry, Primary Care Adult Medical Services</t>
  </si>
  <si>
    <t>Word of Mouth, Referrals from other agencies, Participation in Community events</t>
  </si>
  <si>
    <t>120 hours by 5</t>
  </si>
  <si>
    <t>Under-served and Under-insured Monroe County residents in need of dental services and primary care medical services, including maternal health patients</t>
  </si>
  <si>
    <t>24 Total employees; 5 are part-time</t>
  </si>
  <si>
    <t>We do not know as of today, but we are expecting a decrease in federal funding, which is a 3 year cycle and begins in June 2025. We also are expecting a decrease in our Medicaid reimbursement rate, which is 25% of all the insurances we accept.</t>
  </si>
  <si>
    <t>Medical &amp; Dental Fees vary greatly, depending on the type of service provided. If patients are insured, their cost is dependent upon the benefit plan they chose with their insurance company.  If the patient is cash paying, the fee would be determined by the type of service(s) provided and Rural Health's Network charge, as indicated on our fee schedule.  We do offer a Slide Fee discount for patients who qualify, based on HHS's Poverty Guidelines, if the patient provides proof of income/household size. Discounts range on the Slide fee from 33% (low end) to 60%(high end.) A nominal fee, &gt;60%, is charged for those who qualify for greatest discount.</t>
  </si>
  <si>
    <t>Phlebotomist (Someone who draws blood, processes lab tests etc.) and it impacts our patient compliance as we have to refer it out; we cant always guarantee patients will go</t>
  </si>
  <si>
    <t>Given the high cost of living and the associated expenses with employing staff who serve the Monroe County residents, coupled with the higher demand for dental services, we appreciate the consideration of our increased dollar "ask."</t>
  </si>
  <si>
    <t>Staff Salaries, Fringe, Benefits,IT Services, Supplies, Condo Association Fees</t>
  </si>
  <si>
    <t>I. Federally Qualified Health Center (FQHC) providing both dental &amp; medical services in a facility and on a mobile unit for Monroe County residents. For cost sharing measures, we work with another FQHC who provides us with Call Center/Operations, Human Resources support at a very low rate. We work with many Community partners, such as FL DOH- reciprocal referrals for services and Community events, Westcare/Guidance Care for Behavioral Medicine referrals, Womankind and Healthy Start for our respective Maternal and Women's Health programs, and we attend all Monore County Coalition/Billy Davis Community events. We provide FREE dental and BP/Glucose screenings to KOTS residents,and the low income housing residents at Cayo Apts  and Douglass Square Apts.</t>
  </si>
  <si>
    <t>We have specific medical &amp; dental outcomes we measure on a Quarterly basis through a Quality Assurance/Quality Improvement Program.  Our goals are always to meet or exceed Federal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</si>
</sst>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quot;Questions&quot;"/>
    <numFmt numFmtId="165" formatCode="0\ &quot;pts&quot;"/>
    <numFmt numFmtId="166" formatCode="0.00%\ &quot;Complete&quot;"/>
    <numFmt numFmtId="167" formatCode="&quot;The comment must be left blank for this response&quot;"/>
  </numFmts>
  <fonts count="5" x14ac:knownFonts="1">
    <font>
      <sz val="12"/>
      <color rgb="FF000000"/>
      <name val="Arial"/>
    </font>
    <font>
      <b/>
      <sz val="22"/>
      <color rgb="FF404040"/>
      <name val="Arial"/>
    </font>
    <font>
      <b/>
      <sz val="12"/>
      <color rgb="FFFFFFFF"/>
      <name val="Arial"/>
    </font>
    <font>
      <b/>
      <sz val="14"/>
      <color rgb="FFFFFFFF"/>
      <name val="Arial"/>
    </font>
    <font>
      <sz val="12"/>
      <color rgb="FFFFFFFF"/>
      <name val="Arial"/>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7F7F7F"/>
        <bgColor rgb="FF000000"/>
      </patternFill>
    </fill>
  </fills>
  <borders count="25">
    <border>
      <left/>
      <right/>
      <top/>
      <bottom/>
      <diagonal/>
    </border>
    <border>
      <left style="thin">
        <color rgb="FFBFBFBF"/>
      </left>
      <right style="dotted">
        <color rgb="FFBFBFBF"/>
      </right>
      <top style="thin">
        <color rgb="FFBFBFBF"/>
      </top>
      <bottom style="thin">
        <color rgb="FFBFBFBF"/>
      </bottom>
      <diagonal/>
    </border>
    <border>
      <left style="dotted">
        <color rgb="FFBFBFBF"/>
      </left>
      <right style="dotted">
        <color rgb="FFBFBFBF"/>
      </right>
      <top style="thin">
        <color rgb="FFBFBFBF"/>
      </top>
      <bottom style="thin">
        <color rgb="FFBFBFBF"/>
      </bottom>
      <diagonal/>
    </border>
    <border>
      <left style="dotted">
        <color rgb="FFBFBFBF"/>
      </left>
      <right style="thin">
        <color rgb="FFBFBFBF"/>
      </right>
      <top style="thin">
        <color rgb="FFBFBFBF"/>
      </top>
      <bottom style="thin">
        <color rgb="FFBFBFBF"/>
      </bottom>
      <diagonal/>
    </border>
    <border>
      <left/>
      <right style="dotted">
        <color rgb="FFBFBFBF"/>
      </right>
      <top/>
      <bottom/>
      <diagonal/>
    </border>
    <border>
      <left style="dotted">
        <color rgb="FFBFBFBF"/>
      </left>
      <right style="dotted">
        <color rgb="FFBFBFBF"/>
      </right>
      <top/>
      <bottom/>
      <diagonal/>
    </border>
    <border>
      <left style="dotted">
        <color rgb="FFBFBFBF"/>
      </left>
      <right/>
      <top/>
      <bottom/>
      <diagonal/>
    </border>
    <border>
      <left/>
      <right/>
      <top style="medium">
        <color rgb="FFBFBFBF"/>
      </top>
      <bottom/>
      <diagonal/>
    </border>
    <border>
      <left style="dotted">
        <color rgb="FFBFBFBF"/>
      </left>
      <right/>
      <top style="thin">
        <color rgb="FFBFBFBF"/>
      </top>
      <bottom/>
      <diagonal/>
    </border>
    <border>
      <left style="dotted">
        <color rgb="FFBFBFBF"/>
      </left>
      <right/>
      <top/>
      <bottom/>
      <diagonal/>
    </border>
    <border>
      <left style="dotted">
        <color rgb="FFBFBFBF"/>
      </left>
      <right/>
      <top/>
      <bottom style="thin">
        <color rgb="FFBFBFBF"/>
      </bottom>
      <diagonal/>
    </border>
    <border>
      <left/>
      <right/>
      <top style="thin">
        <color rgb="FFBFBFBF"/>
      </top>
      <bottom/>
      <diagonal/>
    </border>
    <border>
      <left/>
      <right/>
      <top/>
      <bottom style="thin">
        <color rgb="FFBFBFBF"/>
      </bottom>
      <diagonal/>
    </border>
    <border>
      <left/>
      <right style="dotted">
        <color rgb="FFBFBFBF"/>
      </right>
      <top style="thin">
        <color rgb="FFBFBFBF"/>
      </top>
      <bottom/>
      <diagonal/>
    </border>
    <border>
      <left/>
      <right style="dotted">
        <color rgb="FFBFBFBF"/>
      </right>
      <top/>
      <bottom/>
      <diagonal/>
    </border>
    <border>
      <left/>
      <right style="dotted">
        <color rgb="FFBFBFBF"/>
      </right>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dotted">
        <color rgb="FFBFBFBF"/>
      </right>
      <top style="medium">
        <color rgb="FFBFBFBF"/>
      </top>
      <bottom style="thin">
        <color rgb="FFBFBFBF"/>
      </bottom>
      <diagonal/>
    </border>
    <border>
      <left style="dotted">
        <color rgb="FFBFBFBF"/>
      </left>
      <right style="dotted">
        <color rgb="FFBFBFBF"/>
      </right>
      <top style="medium">
        <color rgb="FFBFBFBF"/>
      </top>
      <bottom style="thin">
        <color rgb="FFBFBFBF"/>
      </bottom>
      <diagonal/>
    </border>
    <border>
      <left style="dotted">
        <color rgb="FFBFBFBF"/>
      </left>
      <right/>
      <top style="medium">
        <color rgb="FFBFBFBF"/>
      </top>
      <bottom/>
      <diagonal/>
    </border>
    <border>
      <left/>
      <right/>
      <top style="medium">
        <color rgb="FFBFBFBF"/>
      </top>
      <bottom/>
      <diagonal/>
    </border>
    <border>
      <left/>
      <right style="dotted">
        <color rgb="FFBFBFBF"/>
      </right>
      <top style="medium">
        <color rgb="FFBFBFBF"/>
      </top>
      <bottom/>
      <diagonal/>
    </border>
    <border>
      <left style="dotted">
        <color rgb="FFBFBFBF"/>
      </left>
      <right style="thin">
        <color rgb="FFBFBFBF"/>
      </right>
      <top style="medium">
        <color rgb="FFBFBFBF"/>
      </top>
      <bottom style="thin">
        <color rgb="FFBFBFBF"/>
      </bottom>
      <diagonal/>
    </border>
  </borders>
  <cellStyleXfs count="1">
    <xf numFmtId="0" fontId="0" fillId="0" borderId="0"/>
  </cellStyleXfs>
  <cellXfs count="58">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2" fillId="4" borderId="0" xfId="0" applyFont="1" applyFill="1" applyAlignment="1">
      <alignment horizontal="center" vertical="center" wrapText="1"/>
    </xf>
    <xf numFmtId="0" fontId="2" fillId="5" borderId="0" xfId="0" applyFont="1" applyFill="1" applyAlignment="1">
      <alignment horizontal="center" vertical="center" wrapText="1"/>
    </xf>
    <xf numFmtId="49" fontId="0" fillId="3" borderId="2" xfId="0" applyNumberFormat="1" applyFill="1" applyBorder="1" applyAlignment="1" applyProtection="1">
      <alignment horizontal="center" vertical="center" wrapText="1"/>
      <protection locked="0"/>
    </xf>
    <xf numFmtId="49" fontId="0" fillId="3" borderId="3" xfId="0" applyNumberFormat="1" applyFill="1" applyBorder="1" applyAlignment="1" applyProtection="1">
      <alignment horizontal="left" vertical="center" wrapText="1" indent="1"/>
      <protection locked="0"/>
    </xf>
    <xf numFmtId="0" fontId="3" fillId="6" borderId="4" xfId="0" applyFont="1" applyFill="1" applyBorder="1" applyAlignment="1" applyProtection="1">
      <alignment horizontal="left" vertical="center" indent="1"/>
      <protection locked="0"/>
    </xf>
    <xf numFmtId="0" fontId="3" fillId="6" borderId="6" xfId="0" applyFont="1" applyFill="1" applyBorder="1" applyAlignment="1" applyProtection="1">
      <alignment horizontal="left" vertical="center" wrapText="1" indent="1"/>
      <protection locked="0"/>
    </xf>
    <xf numFmtId="0" fontId="3" fillId="4" borderId="7" xfId="0" applyFont="1" applyFill="1" applyBorder="1" applyAlignment="1">
      <alignment horizontal="center" vertical="center"/>
    </xf>
    <xf numFmtId="165" fontId="3" fillId="4" borderId="7" xfId="0" applyNumberFormat="1" applyFont="1" applyFill="1" applyBorder="1" applyAlignment="1">
      <alignment horizontal="center" vertical="center"/>
    </xf>
    <xf numFmtId="0" fontId="0" fillId="3" borderId="2" xfId="0" applyFill="1" applyBorder="1" applyAlignment="1">
      <alignment horizontal="left" vertical="center" wrapText="1" indent="1"/>
    </xf>
    <xf numFmtId="167" fontId="0" fillId="2" borderId="0" xfId="0" applyNumberFormat="1" applyFill="1" applyAlignment="1">
      <alignment vertical="center" wrapText="1" indent="1" shrinkToFit="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49" fontId="0" fillId="2" borderId="0" xfId="0" applyNumberFormat="1" applyFill="1"/>
    <xf numFmtId="0" fontId="3"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5" xfId="0" applyFont="1" applyFill="1" applyBorder="1" applyAlignment="1">
      <alignment horizontal="center" vertical="center"/>
    </xf>
    <xf numFmtId="0" fontId="1" fillId="2" borderId="0" xfId="0" applyFont="1" applyFill="1" applyAlignment="1">
      <alignment horizontal="left" vertical="center" wrapText="1"/>
    </xf>
    <xf numFmtId="0" fontId="0" fillId="2" borderId="0" xfId="0" applyFill="1" applyProtection="1">
      <protection locked="0"/>
    </xf>
    <xf numFmtId="0" fontId="0" fillId="3" borderId="0" xfId="0" applyFill="1" applyAlignment="1">
      <alignment vertical="center" wrapText="1"/>
    </xf>
    <xf numFmtId="0" fontId="0" fillId="2" borderId="0" xfId="0" applyFill="1" applyAlignment="1">
      <alignment vertical="top" wrapText="1"/>
    </xf>
    <xf numFmtId="0" fontId="2" fillId="4" borderId="0" xfId="0" applyFont="1" applyFill="1" applyAlignment="1">
      <alignment horizontal="center" vertical="center" wrapText="1"/>
    </xf>
    <xf numFmtId="0" fontId="3" fillId="4" borderId="19"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3" xfId="0" applyFont="1"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3" fillId="6" borderId="4" xfId="0" applyFont="1" applyFill="1" applyBorder="1" applyAlignment="1">
      <alignment horizontal="left" vertical="center" wrapText="1" indent="1"/>
    </xf>
    <xf numFmtId="0" fontId="3" fillId="6" borderId="5" xfId="0" applyFont="1" applyFill="1" applyBorder="1" applyAlignment="1">
      <alignment horizontal="left" vertical="center" wrapText="1" indent="1"/>
    </xf>
    <xf numFmtId="0" fontId="3" fillId="6" borderId="6" xfId="0" applyFont="1" applyFill="1" applyBorder="1" applyAlignment="1">
      <alignment horizontal="left" vertical="center" wrapText="1" indent="1"/>
    </xf>
    <xf numFmtId="164" fontId="3" fillId="4" borderId="7" xfId="0" applyNumberFormat="1" applyFont="1" applyFill="1" applyBorder="1" applyAlignment="1">
      <alignment horizontal="center" vertical="center"/>
    </xf>
    <xf numFmtId="0" fontId="3" fillId="4" borderId="7" xfId="0" applyFont="1" applyFill="1" applyBorder="1" applyAlignment="1">
      <alignment horizontal="center" vertical="center"/>
    </xf>
    <xf numFmtId="166" fontId="3" fillId="4" borderId="7" xfId="0" applyNumberFormat="1" applyFont="1" applyFill="1" applyBorder="1" applyAlignment="1">
      <alignment horizontal="center" vertical="center"/>
    </xf>
  </cellXfs>
  <cellStyles count="1">
    <cellStyle name="Normal" xfId="0" builtinId="0"/>
  </cellStyles>
  <dxfs count="20">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color rgb="FF9C0006"/>
      </font>
      <fill>
        <patternFill patternType="solid">
          <fgColor rgb="FFF7C6CE"/>
          <bgColor rgb="FFF7C6CE"/>
        </patternFill>
      </fill>
    </dxf>
    <dxf>
      <font>
        <color rgb="FFF7C6CE"/>
      </font>
      <fill>
        <patternFill patternType="solid">
          <fgColor rgb="FFF7C6CE"/>
          <bgColor rgb="FFF7C6CE"/>
        </patternFill>
      </fill>
    </dxf>
    <dxf>
      <font>
        <color rgb="FFC5EFCE"/>
      </font>
      <fill>
        <patternFill patternType="solid">
          <fgColor rgb="FFC5EFCE"/>
          <bgColor rgb="FFC5EFCE"/>
        </patternFill>
      </fill>
    </dxf>
    <dxf>
      <font>
        <b val="0"/>
        <color rgb="FF404040"/>
      </font>
      <fill>
        <patternFill patternType="solid">
          <fgColor rgb="FFC5EFCE"/>
          <bgColor rgb="FFC5EFCE"/>
        </patternFill>
      </fill>
      <alignment horizontal="left" vertical="center"/>
    </dxf>
    <dxf>
      <font>
        <b/>
        <color rgb="FF006100"/>
      </font>
      <fill>
        <patternFill patternType="solid">
          <fgColor rgb="FFC5EFCE"/>
          <bgColor rgb="FFC5EFCE"/>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ill>
        <patternFill patternType="solid">
          <fgColor rgb="FFFFFFFF"/>
          <bgColor rgb="FFFFFFFF"/>
        </patternFill>
      </fill>
    </dxf>
    <dxf>
      <font>
        <b/>
        <color rgb="FF9C0006"/>
      </font>
      <fill>
        <patternFill patternType="solid">
          <fgColor rgb="FFF7C6CE"/>
          <bgColor rgb="FFF7C6CE"/>
        </patternFill>
      </fill>
    </dxf>
    <dxf>
      <font>
        <b/>
        <color rgb="FF006100"/>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
      <numFmt numFmtId="14" formatCode="0.00%"/>
    </dxf>
    <dxf>
      <fill>
        <patternFill patternType="solid">
          <fgColor rgb="FFFFFFFF"/>
          <bgColor rgb="FFFFFFFF"/>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695575" cy="733425"/>
    <xdr:pic>
      <xdr:nvPicPr>
        <xdr:cNvPr id="2" name="Monroe County, FL_Logo" descr="Monroe County, FL">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ZZ702"/>
  <sheetViews>
    <sheetView showRowColHeaders="0" workbookViewId="0">
      <selection activeCell="B16" sqref="B16:E16"/>
    </sheetView>
  </sheetViews>
  <sheetFormatPr defaultRowHeight="15" x14ac:dyDescent="0.2"/>
  <cols>
    <col min="2" max="5" width="25" customWidth="1"/>
    <col min="702" max="702" width="9.109375" hidden="1"/>
  </cols>
  <sheetData>
    <row r="8" spans="2:5" ht="32.1" customHeight="1" x14ac:dyDescent="0.2">
      <c r="B8" s="38" t="s">
        <v>1</v>
      </c>
      <c r="C8" s="39"/>
      <c r="D8" s="39"/>
      <c r="E8" s="39"/>
    </row>
    <row r="10" spans="2:5" ht="27.75" x14ac:dyDescent="0.2">
      <c r="B10" s="2" t="s">
        <v>2</v>
      </c>
    </row>
    <row r="12" spans="2:5" ht="409.6" customHeight="1" x14ac:dyDescent="0.2">
      <c r="B12" s="40" t="s">
        <v>3</v>
      </c>
      <c r="C12" s="40"/>
      <c r="D12" s="40"/>
      <c r="E12" s="40"/>
    </row>
    <row r="14" spans="2:5" ht="27.75" x14ac:dyDescent="0.2">
      <c r="B14" s="2" t="s">
        <v>4</v>
      </c>
    </row>
    <row r="16" spans="2:5" ht="15.95" customHeight="1" x14ac:dyDescent="0.2">
      <c r="B16" s="41" t="s">
        <v>5</v>
      </c>
      <c r="C16" s="39"/>
      <c r="D16" s="39"/>
      <c r="E16" s="39"/>
    </row>
    <row r="702" spans="702:702" x14ac:dyDescent="0.2">
      <c r="ZZ702" s="1" t="s">
        <v>0</v>
      </c>
    </row>
  </sheetData>
  <sheetProtection password="E36C" sheet="1" objects="1" scenarios="1" insertHyperlinks="0"/>
  <mergeCells count="3">
    <mergeCell ref="B8:E8"/>
    <mergeCell ref="B12:E12"/>
    <mergeCell ref="B16:E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F16"/>
  <sheetViews>
    <sheetView showRowColHeaders="0" workbookViewId="0">
      <pane ySplit="10" topLeftCell="A11" activePane="bottomLeft" state="frozen"/>
      <selection pane="bottomLeft" activeCell="K15" sqref="K15"/>
    </sheetView>
  </sheetViews>
  <sheetFormatPr defaultRowHeight="15" x14ac:dyDescent="0.2"/>
  <cols>
    <col min="2" max="3" width="20" customWidth="1"/>
    <col min="4" max="4" width="9.109375" hidden="1"/>
    <col min="5" max="5" width="20" customWidth="1"/>
    <col min="6" max="6" width="2" customWidth="1"/>
    <col min="7" max="56" width="1" customWidth="1"/>
    <col min="57" max="57" width="2" customWidth="1"/>
    <col min="58" max="58" width="20" customWidth="1"/>
  </cols>
  <sheetData>
    <row r="2" spans="2:58" hidden="1" x14ac:dyDescent="0.2"/>
    <row r="3" spans="2:58" hidden="1" x14ac:dyDescent="0.2"/>
    <row r="4" spans="2:58" hidden="1" x14ac:dyDescent="0.2"/>
    <row r="5" spans="2:58" hidden="1" x14ac:dyDescent="0.2"/>
    <row r="6" spans="2:58" hidden="1" x14ac:dyDescent="0.2"/>
    <row r="7" spans="2:58" hidden="1" x14ac:dyDescent="0.2"/>
    <row r="8" spans="2:58" ht="27.75" x14ac:dyDescent="0.2">
      <c r="B8" s="2" t="s">
        <v>7</v>
      </c>
    </row>
    <row r="10" spans="2:58" ht="32.1" customHeight="1" x14ac:dyDescent="0.2">
      <c r="B10" s="5" t="s">
        <v>8</v>
      </c>
      <c r="C10" s="5" t="s">
        <v>9</v>
      </c>
      <c r="D10" s="5" t="s">
        <v>10</v>
      </c>
      <c r="E10" s="5" t="s">
        <v>11</v>
      </c>
      <c r="F10" s="42" t="s">
        <v>12</v>
      </c>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5" t="s">
        <v>13</v>
      </c>
    </row>
    <row r="11" spans="2:58" x14ac:dyDescent="0.2">
      <c r="B11" s="49">
        <v>1</v>
      </c>
      <c r="C11" s="50">
        <f>'1'!C33</f>
        <v>19</v>
      </c>
      <c r="D11" s="50"/>
      <c r="E11" s="50">
        <f ca="1">'1'!F33</f>
        <v>1</v>
      </c>
      <c r="F11" s="15"/>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20"/>
      <c r="BF11" s="51" t="str">
        <f ca="1">IF(E11= 1, "Complete: no errors",IF(COUNTIF(INDIRECT("'"&amp;B11:B13&amp;"'!H11:H12"),"*"&amp;"response"&amp;"*"),"Errors present","No errors"))</f>
        <v>Complete: no errors</v>
      </c>
    </row>
    <row r="12" spans="2:58" x14ac:dyDescent="0.2">
      <c r="B12" s="49"/>
      <c r="C12" s="50"/>
      <c r="D12" s="50"/>
      <c r="E12" s="50"/>
      <c r="F12" s="16"/>
      <c r="G12" s="23" t="b">
        <f ca="1">E11 &gt;= 0.02</f>
        <v>1</v>
      </c>
      <c r="H12" s="24" t="b">
        <f ca="1">E11 &gt;= 0.04</f>
        <v>1</v>
      </c>
      <c r="I12" s="24" t="b">
        <f ca="1">E11 &gt;= 0.06</f>
        <v>1</v>
      </c>
      <c r="J12" s="24" t="b">
        <f ca="1">E11 &gt;= 0.08</f>
        <v>1</v>
      </c>
      <c r="K12" s="24" t="b">
        <f ca="1">E11 &gt;= 0.1</f>
        <v>1</v>
      </c>
      <c r="L12" s="24" t="b">
        <f ca="1">E11 &gt;= 0.12</f>
        <v>1</v>
      </c>
      <c r="M12" s="24" t="b">
        <f ca="1">E11 &gt;= 0.14</f>
        <v>1</v>
      </c>
      <c r="N12" s="24" t="b">
        <f ca="1">E11 &gt;= 0.16</f>
        <v>1</v>
      </c>
      <c r="O12" s="24" t="b">
        <f ca="1">E11 &gt;= 0.18</f>
        <v>1</v>
      </c>
      <c r="P12" s="24" t="b">
        <f ca="1">E11 &gt;= 0.2</f>
        <v>1</v>
      </c>
      <c r="Q12" s="24" t="b">
        <f ca="1">E11 &gt;= 0.22</f>
        <v>1</v>
      </c>
      <c r="R12" s="24" t="b">
        <f ca="1">E11 &gt;= 0.24</f>
        <v>1</v>
      </c>
      <c r="S12" s="24" t="b">
        <f ca="1">E11 &gt;= 0.26</f>
        <v>1</v>
      </c>
      <c r="T12" s="24" t="b">
        <f ca="1">E11 &gt;= 0.28</f>
        <v>1</v>
      </c>
      <c r="U12" s="24" t="b">
        <f ca="1">E11 &gt;= 0.3</f>
        <v>1</v>
      </c>
      <c r="V12" s="24" t="b">
        <f ca="1">E11 &gt;= 0.32</f>
        <v>1</v>
      </c>
      <c r="W12" s="24" t="b">
        <f ca="1">E11 &gt;= 0.34</f>
        <v>1</v>
      </c>
      <c r="X12" s="24" t="b">
        <f ca="1">E11 &gt;= 0.36</f>
        <v>1</v>
      </c>
      <c r="Y12" s="24" t="b">
        <f ca="1">E11 &gt;= 0.38</f>
        <v>1</v>
      </c>
      <c r="Z12" s="24" t="b">
        <f ca="1">E11 &gt;= 0.4</f>
        <v>1</v>
      </c>
      <c r="AA12" s="24" t="b">
        <f ca="1">E11 &gt;= 0.42</f>
        <v>1</v>
      </c>
      <c r="AB12" s="24" t="b">
        <f ca="1">E11 &gt;= 0.44</f>
        <v>1</v>
      </c>
      <c r="AC12" s="24" t="b">
        <f ca="1">E11 &gt;= 0.46</f>
        <v>1</v>
      </c>
      <c r="AD12" s="24" t="b">
        <f ca="1">E11 &gt;= 0.48</f>
        <v>1</v>
      </c>
      <c r="AE12" s="24" t="b">
        <f ca="1">E11 &gt;= 0.5</f>
        <v>1</v>
      </c>
      <c r="AF12" s="24" t="b">
        <f ca="1">E11 &gt;= 0.52</f>
        <v>1</v>
      </c>
      <c r="AG12" s="24" t="b">
        <f ca="1">E11 &gt;= 0.54</f>
        <v>1</v>
      </c>
      <c r="AH12" s="24" t="b">
        <f ca="1">E11 &gt;= 0.56</f>
        <v>1</v>
      </c>
      <c r="AI12" s="24" t="b">
        <f ca="1">E11 &gt;= 0.58</f>
        <v>1</v>
      </c>
      <c r="AJ12" s="24" t="b">
        <f ca="1">E11 &gt;= 0.6</f>
        <v>1</v>
      </c>
      <c r="AK12" s="24" t="b">
        <f ca="1">E11 &gt;= 0.62</f>
        <v>1</v>
      </c>
      <c r="AL12" s="24" t="b">
        <f ca="1">E11 &gt;= 0.64</f>
        <v>1</v>
      </c>
      <c r="AM12" s="24" t="b">
        <f ca="1">E11 &gt;= 0.66</f>
        <v>1</v>
      </c>
      <c r="AN12" s="24" t="b">
        <f ca="1">E11 &gt;= 0.68</f>
        <v>1</v>
      </c>
      <c r="AO12" s="24" t="b">
        <f ca="1">E11 &gt;= 0.7</f>
        <v>1</v>
      </c>
      <c r="AP12" s="24" t="b">
        <f ca="1">E11 &gt;= 0.72</f>
        <v>1</v>
      </c>
      <c r="AQ12" s="24" t="b">
        <f ca="1">E11 &gt;= 0.74</f>
        <v>1</v>
      </c>
      <c r="AR12" s="24" t="b">
        <f ca="1">E11 &gt;= 0.76</f>
        <v>1</v>
      </c>
      <c r="AS12" s="24" t="b">
        <f ca="1">E11 &gt;= 0.78</f>
        <v>1</v>
      </c>
      <c r="AT12" s="24" t="b">
        <f ca="1">E11 &gt;= 0.8</f>
        <v>1</v>
      </c>
      <c r="AU12" s="24" t="b">
        <f ca="1">E11 &gt;= 0.82</f>
        <v>1</v>
      </c>
      <c r="AV12" s="24" t="b">
        <f ca="1">E11 &gt;= 0.84</f>
        <v>1</v>
      </c>
      <c r="AW12" s="24" t="b">
        <f ca="1">E11 &gt;= 0.86</f>
        <v>1</v>
      </c>
      <c r="AX12" s="24" t="b">
        <f ca="1">E11 &gt;= 0.88</f>
        <v>1</v>
      </c>
      <c r="AY12" s="24" t="b">
        <f ca="1">E11 &gt;= 0.9</f>
        <v>1</v>
      </c>
      <c r="AZ12" s="24" t="b">
        <f ca="1">E11 &gt;= 0.92</f>
        <v>1</v>
      </c>
      <c r="BA12" s="24" t="b">
        <f ca="1">E11 &gt;= 0.94</f>
        <v>1</v>
      </c>
      <c r="BB12" s="24" t="b">
        <f ca="1">E11 &gt;= 0.96</f>
        <v>1</v>
      </c>
      <c r="BC12" s="24" t="b">
        <f ca="1">E11 &gt;= 0.98</f>
        <v>1</v>
      </c>
      <c r="BD12" s="25" t="b">
        <f ca="1">E11 &gt;= 1</f>
        <v>1</v>
      </c>
      <c r="BE12" s="21"/>
      <c r="BF12" s="51"/>
    </row>
    <row r="13" spans="2:58" x14ac:dyDescent="0.2">
      <c r="B13" s="49"/>
      <c r="C13" s="50"/>
      <c r="D13" s="50"/>
      <c r="E13" s="50"/>
      <c r="F13" s="17"/>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22"/>
      <c r="BF13" s="51"/>
    </row>
    <row r="14" spans="2:58" ht="18" x14ac:dyDescent="0.2">
      <c r="B14" s="43" t="s">
        <v>6</v>
      </c>
      <c r="C14" s="45">
        <f>SUM(C11:C13)</f>
        <v>19</v>
      </c>
      <c r="D14" s="45"/>
      <c r="E14" s="45">
        <f ca="1">IF($C$14=0,1,SUMPRODUCT(C11:C13, E11:E13) / $C$14)</f>
        <v>1</v>
      </c>
      <c r="F14" s="27"/>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9"/>
      <c r="BF14" s="47"/>
    </row>
    <row r="15" spans="2:58" ht="18" x14ac:dyDescent="0.2">
      <c r="B15" s="44"/>
      <c r="C15" s="46"/>
      <c r="D15" s="46"/>
      <c r="E15" s="46"/>
      <c r="F15" s="30"/>
      <c r="G15" s="31" t="b">
        <f ca="1">E14 &gt;= 0.02</f>
        <v>1</v>
      </c>
      <c r="H15" s="32" t="b">
        <f ca="1">E14 &gt;= 0.04</f>
        <v>1</v>
      </c>
      <c r="I15" s="32" t="b">
        <f ca="1">E14 &gt;= 0.06</f>
        <v>1</v>
      </c>
      <c r="J15" s="32" t="b">
        <f ca="1">E14 &gt;= 0.08</f>
        <v>1</v>
      </c>
      <c r="K15" s="32" t="b">
        <f ca="1">E14 &gt;= 0.1</f>
        <v>1</v>
      </c>
      <c r="L15" s="32" t="b">
        <f ca="1">E14 &gt;= 0.12</f>
        <v>1</v>
      </c>
      <c r="M15" s="32" t="b">
        <f ca="1">E14 &gt;= 0.14</f>
        <v>1</v>
      </c>
      <c r="N15" s="32" t="b">
        <f ca="1">E14 &gt;= 0.16</f>
        <v>1</v>
      </c>
      <c r="O15" s="32" t="b">
        <f ca="1">E14 &gt;= 0.18</f>
        <v>1</v>
      </c>
      <c r="P15" s="32" t="b">
        <f ca="1">E14 &gt;= 0.2</f>
        <v>1</v>
      </c>
      <c r="Q15" s="32" t="b">
        <f ca="1">E14 &gt;= 0.22</f>
        <v>1</v>
      </c>
      <c r="R15" s="32" t="b">
        <f ca="1">E14 &gt;= 0.24</f>
        <v>1</v>
      </c>
      <c r="S15" s="32" t="b">
        <f ca="1">E14 &gt;= 0.26</f>
        <v>1</v>
      </c>
      <c r="T15" s="32" t="b">
        <f ca="1">E14 &gt;= 0.28</f>
        <v>1</v>
      </c>
      <c r="U15" s="32" t="b">
        <f ca="1">E14 &gt;= 0.3</f>
        <v>1</v>
      </c>
      <c r="V15" s="32" t="b">
        <f ca="1">E14 &gt;= 0.32</f>
        <v>1</v>
      </c>
      <c r="W15" s="32" t="b">
        <f ca="1">E14 &gt;= 0.34</f>
        <v>1</v>
      </c>
      <c r="X15" s="32" t="b">
        <f ca="1">E14 &gt;= 0.36</f>
        <v>1</v>
      </c>
      <c r="Y15" s="32" t="b">
        <f ca="1">E14 &gt;= 0.38</f>
        <v>1</v>
      </c>
      <c r="Z15" s="32" t="b">
        <f ca="1">E14 &gt;= 0.4</f>
        <v>1</v>
      </c>
      <c r="AA15" s="32" t="b">
        <f ca="1">E14 &gt;= 0.42</f>
        <v>1</v>
      </c>
      <c r="AB15" s="32" t="b">
        <f ca="1">E14 &gt;= 0.44</f>
        <v>1</v>
      </c>
      <c r="AC15" s="32" t="b">
        <f ca="1">E14 &gt;= 0.46</f>
        <v>1</v>
      </c>
      <c r="AD15" s="32" t="b">
        <f ca="1">E14 &gt;= 0.48</f>
        <v>1</v>
      </c>
      <c r="AE15" s="32" t="b">
        <f ca="1">E14 &gt;= 0.5</f>
        <v>1</v>
      </c>
      <c r="AF15" s="32" t="b">
        <f ca="1">E14 &gt;= 0.52</f>
        <v>1</v>
      </c>
      <c r="AG15" s="32" t="b">
        <f ca="1">E14 &gt;= 0.54</f>
        <v>1</v>
      </c>
      <c r="AH15" s="32" t="b">
        <f ca="1">E14 &gt;= 0.56</f>
        <v>1</v>
      </c>
      <c r="AI15" s="32" t="b">
        <f ca="1">E14 &gt;= 0.58</f>
        <v>1</v>
      </c>
      <c r="AJ15" s="32" t="b">
        <f ca="1">E14 &gt;= 0.6</f>
        <v>1</v>
      </c>
      <c r="AK15" s="32" t="b">
        <f ca="1">E14 &gt;= 0.62</f>
        <v>1</v>
      </c>
      <c r="AL15" s="32" t="b">
        <f ca="1">E14 &gt;= 0.64</f>
        <v>1</v>
      </c>
      <c r="AM15" s="32" t="b">
        <f ca="1">E14 &gt;= 0.66</f>
        <v>1</v>
      </c>
      <c r="AN15" s="32" t="b">
        <f ca="1">E14 &gt;= 0.68</f>
        <v>1</v>
      </c>
      <c r="AO15" s="32" t="b">
        <f ca="1">E14 &gt;= 0.7</f>
        <v>1</v>
      </c>
      <c r="AP15" s="32" t="b">
        <f ca="1">E14 &gt;= 0.72</f>
        <v>1</v>
      </c>
      <c r="AQ15" s="32" t="b">
        <f ca="1">E14 &gt;= 0.74</f>
        <v>1</v>
      </c>
      <c r="AR15" s="32" t="b">
        <f ca="1">E14 &gt;= 0.76</f>
        <v>1</v>
      </c>
      <c r="AS15" s="32" t="b">
        <f ca="1">E14 &gt;= 0.78</f>
        <v>1</v>
      </c>
      <c r="AT15" s="32" t="b">
        <f ca="1">E14 &gt;= 0.8</f>
        <v>1</v>
      </c>
      <c r="AU15" s="32" t="b">
        <f ca="1">E14 &gt;= 0.82</f>
        <v>1</v>
      </c>
      <c r="AV15" s="32" t="b">
        <f ca="1">E14 &gt;= 0.84</f>
        <v>1</v>
      </c>
      <c r="AW15" s="32" t="b">
        <f ca="1">E14 &gt;= 0.86</f>
        <v>1</v>
      </c>
      <c r="AX15" s="32" t="b">
        <f ca="1">E14 &gt;= 0.88</f>
        <v>1</v>
      </c>
      <c r="AY15" s="32" t="b">
        <f ca="1">E14 &gt;= 0.9</f>
        <v>1</v>
      </c>
      <c r="AZ15" s="32" t="b">
        <f ca="1">E14 &gt;= 0.92</f>
        <v>1</v>
      </c>
      <c r="BA15" s="32" t="b">
        <f ca="1">E14 &gt;= 0.94</f>
        <v>1</v>
      </c>
      <c r="BB15" s="32" t="b">
        <f ca="1">E14 &gt;= 0.96</f>
        <v>1</v>
      </c>
      <c r="BC15" s="32" t="b">
        <f ca="1">E14 &gt;= 0.98</f>
        <v>1</v>
      </c>
      <c r="BD15" s="33" t="b">
        <f ca="1">E14 &gt;= 1</f>
        <v>1</v>
      </c>
      <c r="BE15" s="34"/>
      <c r="BF15" s="48"/>
    </row>
    <row r="16" spans="2:58" ht="18" x14ac:dyDescent="0.2">
      <c r="B16" s="44"/>
      <c r="C16" s="46"/>
      <c r="D16" s="46"/>
      <c r="E16" s="46"/>
      <c r="F16" s="35"/>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7"/>
      <c r="BF16" s="48"/>
    </row>
  </sheetData>
  <sheetProtection password="E36C" sheet="1" objects="1" scenarios="1" insertHyperlinks="0"/>
  <mergeCells count="11">
    <mergeCell ref="BF14:BF16"/>
    <mergeCell ref="B11:B13"/>
    <mergeCell ref="C11:C13"/>
    <mergeCell ref="D11:D13"/>
    <mergeCell ref="E11:E13"/>
    <mergeCell ref="BF11:BF13"/>
    <mergeCell ref="F10:BE10"/>
    <mergeCell ref="B14:B16"/>
    <mergeCell ref="C14:C16"/>
    <mergeCell ref="D14:D16"/>
    <mergeCell ref="E14:E16"/>
  </mergeCells>
  <conditionalFormatting sqref="B11:BF13">
    <cfRule type="expression" dxfId="19" priority="8">
      <formula>OR(IF(ISNUMBER($B11),MOD($B11,2)=1,FALSE),IF(ISNUMBER($B10),MOD($B10,2)=1,FALSE),IF(ISNUMBER($B9),MOD($B9,2)=1,FALSE))</formula>
    </cfRule>
  </conditionalFormatting>
  <conditionalFormatting sqref="E11:E16">
    <cfRule type="expression" dxfId="18" priority="5">
      <formula>TRUE</formula>
    </cfRule>
  </conditionalFormatting>
  <conditionalFormatting sqref="G12:BD12">
    <cfRule type="expression" dxfId="17" priority="1">
      <formula>G$12</formula>
    </cfRule>
    <cfRule type="expression" dxfId="16" priority="2">
      <formula>NOT(G$12)</formula>
    </cfRule>
  </conditionalFormatting>
  <conditionalFormatting sqref="G15:BD15">
    <cfRule type="expression" dxfId="15" priority="3">
      <formula>G$15</formula>
    </cfRule>
    <cfRule type="expression" dxfId="14" priority="4">
      <formula>NOT(G$15)</formula>
    </cfRule>
  </conditionalFormatting>
  <conditionalFormatting sqref="BF11:BF13">
    <cfRule type="expression" dxfId="13" priority="6">
      <formula>$BF11 ="Complete: no errors"</formula>
    </cfRule>
    <cfRule type="expression" dxfId="12" priority="7">
      <formula>$BF11 = "Errors present"</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3"/>
  <sheetViews>
    <sheetView showRowColHeaders="0" tabSelected="1" workbookViewId="0">
      <pane ySplit="10" topLeftCell="A37" activePane="bottomLeft" state="frozen"/>
      <selection pane="bottomLeft" activeCell="F58" sqref="F58"/>
    </sheetView>
  </sheetViews>
  <sheetFormatPr defaultRowHeight="15" x14ac:dyDescent="0.2"/>
  <cols>
    <col min="2" max="2" width="9.109375" hidden="1"/>
    <col min="3" max="3" width="10" customWidth="1"/>
    <col min="4" max="4" width="66" customWidth="1"/>
    <col min="5" max="5" width="9.109375" hidden="1"/>
    <col min="6" max="6" width="25" customWidth="1"/>
    <col min="7" max="7" width="66" customWidth="1"/>
    <col min="8" max="8" width="40" customWidth="1"/>
    <col min="9" max="9" width="9.109375" hidden="1"/>
  </cols>
  <sheetData>
    <row r="2" spans="2:9" ht="27.75" x14ac:dyDescent="0.2">
      <c r="C2" s="2" t="s">
        <v>14</v>
      </c>
    </row>
    <row r="3" spans="2:9" hidden="1" x14ac:dyDescent="0.2"/>
    <row r="4" spans="2:9" hidden="1" x14ac:dyDescent="0.2"/>
    <row r="5" spans="2:9" hidden="1" x14ac:dyDescent="0.2"/>
    <row r="6" spans="2:9" hidden="1" x14ac:dyDescent="0.2"/>
    <row r="7" spans="2:9" hidden="1" x14ac:dyDescent="0.2"/>
    <row r="8" spans="2:9" hidden="1" x14ac:dyDescent="0.2"/>
    <row r="10" spans="2:9" ht="32.1" customHeight="1" x14ac:dyDescent="0.2">
      <c r="C10" s="5" t="s">
        <v>15</v>
      </c>
      <c r="D10" s="5" t="s">
        <v>16</v>
      </c>
      <c r="E10" s="5" t="s">
        <v>10</v>
      </c>
      <c r="F10" s="6" t="s">
        <v>17</v>
      </c>
      <c r="G10" s="6" t="s">
        <v>18</v>
      </c>
      <c r="H10" s="6" t="s">
        <v>19</v>
      </c>
      <c r="I10" t="s">
        <v>10</v>
      </c>
    </row>
    <row r="11" spans="2:9" ht="20.100000000000001" customHeight="1" x14ac:dyDescent="0.2">
      <c r="B11" s="1"/>
      <c r="C11" s="52" t="s">
        <v>20</v>
      </c>
      <c r="D11" s="53"/>
      <c r="E11" s="54"/>
      <c r="F11" s="9"/>
      <c r="G11" s="10"/>
      <c r="H11" s="14" t="str">
        <f>IF(AND(ISBLANK(F11),ISBLANK(G11)),"?", "Anything entered in this row will be ignored")</f>
        <v>?</v>
      </c>
      <c r="I11" s="1">
        <v>-1</v>
      </c>
    </row>
    <row r="12" spans="2:9" ht="195" x14ac:dyDescent="0.2">
      <c r="B12" s="1">
        <v>1257726</v>
      </c>
      <c r="C12" s="3" t="s">
        <v>21</v>
      </c>
      <c r="D12" s="13" t="s">
        <v>22</v>
      </c>
      <c r="E12" s="4"/>
      <c r="F12" s="7" t="s">
        <v>61</v>
      </c>
      <c r="G12" s="8"/>
      <c r="H12" s="14" t="str">
        <f ca="1">IF(AND(ISNA(MATCH(OFFSET($H12,0,-2)&amp;"",responseOption0,0)),NOT(TRIM(OFFSET($H12,0,-2)) = "")),"Response must be one of "&amp;INDEX(responseValidationRulesGroup0,4,1),IF(AND(IF(ISNA(INDEX(responseValidationRulesGroup0,MATCH(OFFSET($H12,0,-2)&amp;"",responseOption0,0),2)),FALSE,INDEX(responseValidationRulesGroup0,MATCH(OFFSET($H12,0,-2)&amp;"",responseOption0,0),2)),TRIM(OFFSET($H12,0,-1)) = ""),"A comment is required for this response",IF(IF(ISNA(INDEX(responseValidationRulesGroup0,MATCH(OFFSET($H12,0,-2)&amp;"",responseOption0,0),3)),FALSE,INDEX(responseValidationRulesGroup0,MATCH(OFFSET($H12,0,-2)&amp;"",responseOption0,0),3)),IF(TRIM(OFFSET($H12,0,-1)) = "","Complete","The comment must be left blank for this response"),IF(TRIM(OFFSET($H12,0,-2))="","Incomplete", "Complete"))))</f>
        <v>Complete</v>
      </c>
      <c r="I12" s="1">
        <v>1</v>
      </c>
    </row>
    <row r="13" spans="2:9" ht="409.5" x14ac:dyDescent="0.2">
      <c r="B13" s="1">
        <v>1257730</v>
      </c>
      <c r="C13" s="3" t="s">
        <v>23</v>
      </c>
      <c r="D13" s="13" t="s">
        <v>24</v>
      </c>
      <c r="E13" s="4"/>
      <c r="F13" s="7" t="s">
        <v>78</v>
      </c>
      <c r="G13" s="8"/>
      <c r="H13" s="14" t="str">
        <f ca="1">IF(AND(
            OR(OFFSET($H13,0,-2) = "-",OFFSET($H13,0,-2) = ""),OFFSET($H13,0,-1) = ""),"Incomplete","Complete")</f>
        <v>Complete</v>
      </c>
      <c r="I13" s="1">
        <v>0</v>
      </c>
    </row>
    <row r="14" spans="2:9" ht="45" x14ac:dyDescent="0.2">
      <c r="B14" s="1">
        <v>1257731</v>
      </c>
      <c r="C14" s="3" t="s">
        <v>25</v>
      </c>
      <c r="D14" s="13" t="s">
        <v>26</v>
      </c>
      <c r="E14" s="4"/>
      <c r="F14" s="7" t="s">
        <v>79</v>
      </c>
      <c r="G14" s="8"/>
      <c r="H14" s="14" t="str">
        <f ca="1">IF(AND(
            OR(OFFSET($H14,0,-2) = "-",OFFSET($H14,0,-2) = ""),OFFSET($H14,0,-1) = ""),"Incomplete","Complete")</f>
        <v>Complete</v>
      </c>
      <c r="I14" s="1">
        <v>1</v>
      </c>
    </row>
    <row r="15" spans="2:9" ht="45" x14ac:dyDescent="0.2">
      <c r="B15" s="1">
        <v>1254674</v>
      </c>
      <c r="C15" s="3" t="s">
        <v>27</v>
      </c>
      <c r="D15" s="13" t="s">
        <v>28</v>
      </c>
      <c r="E15" s="4"/>
      <c r="F15" s="7" t="s">
        <v>88</v>
      </c>
      <c r="G15" s="8"/>
      <c r="H15" s="14" t="str">
        <f ca="1">IF(AND(
            OR(OFFSET($H15,0,-2) = "-",OFFSET($H15,0,-2) = ""),OFFSET($H15,0,-1) = ""),"Incomplete","Complete")</f>
        <v>Complete</v>
      </c>
      <c r="I15" s="1">
        <v>0</v>
      </c>
    </row>
    <row r="16" spans="2:9" ht="20.100000000000001" customHeight="1" x14ac:dyDescent="0.2">
      <c r="B16" s="1"/>
      <c r="C16" s="52" t="s">
        <v>29</v>
      </c>
      <c r="D16" s="53"/>
      <c r="E16" s="54"/>
      <c r="F16" s="9"/>
      <c r="G16" s="10"/>
      <c r="H16" s="14" t="str">
        <f>IF(AND(ISBLANK(F16),ISBLANK(G16)),"?", "Anything entered in this row will be ignored")</f>
        <v>?</v>
      </c>
      <c r="I16" s="1">
        <v>-1</v>
      </c>
    </row>
    <row r="17" spans="2:9" ht="409.5" x14ac:dyDescent="0.2">
      <c r="B17" s="1">
        <v>1257715</v>
      </c>
      <c r="C17" s="3" t="s">
        <v>30</v>
      </c>
      <c r="D17" s="13" t="s">
        <v>31</v>
      </c>
      <c r="E17" s="4"/>
      <c r="F17" s="7" t="s">
        <v>89</v>
      </c>
      <c r="G17" s="8"/>
      <c r="H17" s="14" t="str">
        <f ca="1">IF(AND(
            OR(OFFSET($H17,0,-2) = "-",OFFSET($H17,0,-2) = ""),OFFSET($H17,0,-1) = ""),"Incomplete","Complete")</f>
        <v>Complete</v>
      </c>
      <c r="I17" s="1">
        <v>1</v>
      </c>
    </row>
    <row r="18" spans="2:9" ht="20.100000000000001" customHeight="1" x14ac:dyDescent="0.2">
      <c r="B18" s="1"/>
      <c r="C18" s="52" t="s">
        <v>32</v>
      </c>
      <c r="D18" s="53"/>
      <c r="E18" s="54"/>
      <c r="F18" s="9"/>
      <c r="G18" s="10"/>
      <c r="H18" s="14" t="str">
        <f>IF(AND(ISBLANK(F18),ISBLANK(G18)),"?", "Anything entered in this row will be ignored")</f>
        <v>?</v>
      </c>
      <c r="I18" s="1">
        <v>-1</v>
      </c>
    </row>
    <row r="19" spans="2:9" ht="45" x14ac:dyDescent="0.2">
      <c r="B19" s="1">
        <v>1257733</v>
      </c>
      <c r="C19" s="3" t="s">
        <v>33</v>
      </c>
      <c r="D19" s="13" t="s">
        <v>34</v>
      </c>
      <c r="E19" s="4"/>
      <c r="F19" s="7" t="s">
        <v>65</v>
      </c>
      <c r="G19" s="8"/>
      <c r="H19" s="14" t="str">
        <f ca="1">IF(AND(ISNA(MATCH(OFFSET($H19,0,-2)&amp;"",responseOption1,0)),NOT(TRIM(OFFSET($H19,0,-2)) = "")),"Response must be one of "&amp;INDEX(responseValidationRulesGroup1,3,1),IF(AND(IF(ISNA(INDEX(responseValidationRulesGroup1,MATCH(OFFSET($H19,0,-2)&amp;"",responseOption1,0),2)),FALSE,INDEX(responseValidationRulesGroup1,MATCH(OFFSET($H19,0,-2)&amp;"",responseOption1,0),2)),TRIM(OFFSET($H19,0,-1)) = ""),"A comment is required for this response",IF(IF(ISNA(INDEX(responseValidationRulesGroup1,MATCH(OFFSET($H19,0,-2)&amp;"",responseOption1,0),3)),FALSE,INDEX(responseValidationRulesGroup1,MATCH(OFFSET($H19,0,-2)&amp;"",responseOption1,0),3)),IF(TRIM(OFFSET($H19,0,-1)) = "","Complete","The comment must be left blank for this response"),IF(TRIM(OFFSET($H19,0,-2))="","Incomplete", "Complete"))))</f>
        <v>Complete</v>
      </c>
      <c r="I19" s="1">
        <v>1</v>
      </c>
    </row>
    <row r="20" spans="2:9" ht="45" x14ac:dyDescent="0.2">
      <c r="B20" s="1">
        <v>1257734</v>
      </c>
      <c r="C20" s="3" t="s">
        <v>35</v>
      </c>
      <c r="D20" s="13" t="s">
        <v>36</v>
      </c>
      <c r="E20" s="4"/>
      <c r="F20" s="7" t="s">
        <v>66</v>
      </c>
      <c r="G20" s="8"/>
      <c r="H20" s="14" t="str">
        <f ca="1">IF(AND(ISNA(MATCH(OFFSET($H20,0,-2)&amp;"",responseOption1,0)),NOT(TRIM(OFFSET($H20,0,-2)) = "")),"Response must be one of "&amp;INDEX(responseValidationRulesGroup1,3,1),IF(AND(IF(ISNA(INDEX(responseValidationRulesGroup1,MATCH(OFFSET($H20,0,-2)&amp;"",responseOption1,0),2)),FALSE,INDEX(responseValidationRulesGroup1,MATCH(OFFSET($H20,0,-2)&amp;"",responseOption1,0),2)),TRIM(OFFSET($H20,0,-1)) = ""),"A comment is required for this response",IF(IF(ISNA(INDEX(responseValidationRulesGroup1,MATCH(OFFSET($H20,0,-2)&amp;"",responseOption1,0),3)),FALSE,INDEX(responseValidationRulesGroup1,MATCH(OFFSET($H20,0,-2)&amp;"",responseOption1,0),3)),IF(TRIM(OFFSET($H20,0,-1)) = "","Complete","The comment must be left blank for this response"),IF(TRIM(OFFSET($H20,0,-2))="","Incomplete", "Complete"))))</f>
        <v>Complete</v>
      </c>
      <c r="I20" s="1">
        <v>0</v>
      </c>
    </row>
    <row r="21" spans="2:9" ht="60" x14ac:dyDescent="0.2">
      <c r="B21" s="1">
        <v>1257738</v>
      </c>
      <c r="C21" s="3" t="s">
        <v>37</v>
      </c>
      <c r="D21" s="13" t="s">
        <v>38</v>
      </c>
      <c r="E21" s="4"/>
      <c r="F21" s="7" t="s">
        <v>66</v>
      </c>
      <c r="G21" s="8"/>
      <c r="H21" s="14" t="str">
        <f ca="1">IF(AND(ISNA(MATCH(OFFSET($H21,0,-2)&amp;"",responseOption2,0)),NOT(TRIM(OFFSET($H21,0,-2)) = "")),"Response must be one of "&amp;INDEX(responseValidationRulesGroup2,3,1),IF(AND(IF(ISNA(INDEX(responseValidationRulesGroup2,MATCH(OFFSET($H21,0,-2)&amp;"",responseOption2,0),2)),FALSE,INDEX(responseValidationRulesGroup2,MATCH(OFFSET($H21,0,-2)&amp;"",responseOption2,0),2)),TRIM(OFFSET($H21,0,-1)) = ""),"A comment is required for this response",IF(IF(ISNA(INDEX(responseValidationRulesGroup2,MATCH(OFFSET($H21,0,-2)&amp;"",responseOption2,0),3)),FALSE,INDEX(responseValidationRulesGroup2,MATCH(OFFSET($H21,0,-2)&amp;"",responseOption2,0),3)),IF(TRIM(OFFSET($H21,0,-1)) = "","Complete","The comment must be left blank for this response"),IF(TRIM(OFFSET($H21,0,-2))="","Incomplete", "Complete"))))</f>
        <v>Complete</v>
      </c>
      <c r="I21" s="1">
        <v>1</v>
      </c>
    </row>
    <row r="22" spans="2:9" ht="60" x14ac:dyDescent="0.2">
      <c r="B22" s="1">
        <v>1257740</v>
      </c>
      <c r="C22" s="3" t="s">
        <v>39</v>
      </c>
      <c r="D22" s="13" t="s">
        <v>40</v>
      </c>
      <c r="E22" s="4"/>
      <c r="F22" s="7" t="s">
        <v>70</v>
      </c>
      <c r="G22" s="8" t="s">
        <v>84</v>
      </c>
      <c r="H22" s="14" t="str">
        <f ca="1">IF(AND(ISNA(MATCH(OFFSET($H22,0,-2)&amp;"",responseOption3,0)),NOT(TRIM(OFFSET($H22,0,-2)) = "")),"Response must be one of "&amp;INDEX(responseValidationRulesGroup3,3,1),IF(AND(IF(ISNA(INDEX(responseValidationRulesGroup3,MATCH(OFFSET($H22,0,-2)&amp;"",responseOption3,0),2)),FALSE,INDEX(responseValidationRulesGroup3,MATCH(OFFSET($H22,0,-2)&amp;"",responseOption3,0),2)),TRIM(OFFSET($H22,0,-1)) = ""),"A comment is required for this response",IF(IF(ISNA(INDEX(responseValidationRulesGroup3,MATCH(OFFSET($H22,0,-2)&amp;"",responseOption3,0),3)),FALSE,INDEX(responseValidationRulesGroup3,MATCH(OFFSET($H22,0,-2)&amp;"",responseOption3,0),3)),IF(TRIM(OFFSET($H22,0,-1)) = "","Complete","The comment must be left blank for this response"),IF(TRIM(OFFSET($H22,0,-2))="","Incomplete", "Complete"))))</f>
        <v>Complete</v>
      </c>
      <c r="I22" s="1">
        <v>0</v>
      </c>
    </row>
    <row r="23" spans="2:9" ht="60" x14ac:dyDescent="0.2">
      <c r="B23" s="1">
        <v>1258124</v>
      </c>
      <c r="C23" s="3" t="s">
        <v>41</v>
      </c>
      <c r="D23" s="13" t="s">
        <v>42</v>
      </c>
      <c r="E23" s="4"/>
      <c r="F23" s="7" t="s">
        <v>66</v>
      </c>
      <c r="G23" s="8"/>
      <c r="H23" s="14" t="str">
        <f ca="1">IF(AND(ISNA(MATCH(OFFSET($H23,0,-2)&amp;"",responseOption4,0)),NOT(TRIM(OFFSET($H23,0,-2)) = "")),"Response must be one of "&amp;INDEX(responseValidationRulesGroup4,3,1),IF(AND(IF(ISNA(INDEX(responseValidationRulesGroup4,MATCH(OFFSET($H23,0,-2)&amp;"",responseOption4,0),2)),FALSE,INDEX(responseValidationRulesGroup4,MATCH(OFFSET($H23,0,-2)&amp;"",responseOption4,0),2)),TRIM(OFFSET($H23,0,-1)) = ""),"A comment is required for this response",IF(IF(ISNA(INDEX(responseValidationRulesGroup4,MATCH(OFFSET($H23,0,-2)&amp;"",responseOption4,0),3)),FALSE,INDEX(responseValidationRulesGroup4,MATCH(OFFSET($H23,0,-2)&amp;"",responseOption4,0),3)),IF(TRIM(OFFSET($H23,0,-1)) = "","Complete","The comment must be left blank for this response"),IF(TRIM(OFFSET($H23,0,-2))="","Incomplete", "Complete"))))</f>
        <v>Complete</v>
      </c>
      <c r="I23" s="1">
        <v>1</v>
      </c>
    </row>
    <row r="24" spans="2:9" ht="90" x14ac:dyDescent="0.2">
      <c r="B24" s="1">
        <v>1258128</v>
      </c>
      <c r="C24" s="3" t="s">
        <v>43</v>
      </c>
      <c r="D24" s="13" t="s">
        <v>44</v>
      </c>
      <c r="E24" s="4"/>
      <c r="F24" s="7" t="s">
        <v>82</v>
      </c>
      <c r="G24" s="8"/>
      <c r="H24" s="14" t="str">
        <f ca="1">IF(AND(
            OR(OFFSET($H24,0,-2) = "-",OFFSET($H24,0,-2) = ""),OFFSET($H24,0,-1) = ""),"Incomplete","Complete")</f>
        <v>Complete</v>
      </c>
      <c r="I24" s="1">
        <v>0</v>
      </c>
    </row>
    <row r="25" spans="2:9" ht="45" x14ac:dyDescent="0.2">
      <c r="B25" s="1">
        <v>1258129</v>
      </c>
      <c r="C25" s="3" t="s">
        <v>45</v>
      </c>
      <c r="D25" s="13" t="s">
        <v>46</v>
      </c>
      <c r="E25" s="4"/>
      <c r="F25" s="7" t="s">
        <v>80</v>
      </c>
      <c r="G25" s="8"/>
      <c r="H25" s="14" t="str">
        <f ca="1">IF(AND(
            OR(OFFSET($H25,0,-2) = "-",OFFSET($H25,0,-2) = ""),OFFSET($H25,0,-1) = ""),"Incomplete","Complete")</f>
        <v>Complete</v>
      </c>
      <c r="I25" s="1">
        <v>1</v>
      </c>
    </row>
    <row r="26" spans="2:9" ht="60" x14ac:dyDescent="0.2">
      <c r="B26" s="1">
        <v>1258132</v>
      </c>
      <c r="C26" s="3" t="s">
        <v>47</v>
      </c>
      <c r="D26" s="13" t="s">
        <v>48</v>
      </c>
      <c r="E26" s="4"/>
      <c r="F26" s="7" t="s">
        <v>66</v>
      </c>
      <c r="G26" s="8"/>
      <c r="H26" s="14" t="str">
        <f ca="1">IF(AND(ISNA(MATCH(OFFSET($H26,0,-2)&amp;"",responseOption5,0)),NOT(TRIM(OFFSET($H26,0,-2)) = "")),"Response must be one of "&amp;INDEX(responseValidationRulesGroup5,3,1),IF(AND(IF(ISNA(INDEX(responseValidationRulesGroup5,MATCH(OFFSET($H26,0,-2)&amp;"",responseOption5,0),2)),FALSE,INDEX(responseValidationRulesGroup5,MATCH(OFFSET($H26,0,-2)&amp;"",responseOption5,0),2)),TRIM(OFFSET($H26,0,-1)) = ""),"A comment is required for this response",IF(IF(ISNA(INDEX(responseValidationRulesGroup5,MATCH(OFFSET($H26,0,-2)&amp;"",responseOption5,0),3)),FALSE,INDEX(responseValidationRulesGroup5,MATCH(OFFSET($H26,0,-2)&amp;"",responseOption5,0),3)),IF(TRIM(OFFSET($H26,0,-1)) = "","Complete","The comment must be left blank for this response"),IF(TRIM(OFFSET($H26,0,-2))="","Incomplete", "Complete"))))</f>
        <v>Complete</v>
      </c>
      <c r="I26" s="1">
        <v>0</v>
      </c>
    </row>
    <row r="27" spans="2:9" ht="75" x14ac:dyDescent="0.2">
      <c r="B27" s="1">
        <v>1258137</v>
      </c>
      <c r="C27" s="3" t="s">
        <v>49</v>
      </c>
      <c r="D27" s="13" t="s">
        <v>50</v>
      </c>
      <c r="E27" s="4"/>
      <c r="F27" s="7" t="s">
        <v>81</v>
      </c>
      <c r="G27" s="8"/>
      <c r="H27" s="14" t="str">
        <f ca="1">IF(AND(
            OR(OFFSET($H27,0,-2) = "-",OFFSET($H27,0,-2) = ""),OFFSET($H27,0,-1) = ""),"Incomplete","Complete")</f>
        <v>Complete</v>
      </c>
      <c r="I27" s="1">
        <v>1</v>
      </c>
    </row>
    <row r="28" spans="2:9" ht="105" x14ac:dyDescent="0.2">
      <c r="B28" s="1">
        <v>1258139</v>
      </c>
      <c r="C28" s="3" t="s">
        <v>51</v>
      </c>
      <c r="D28" s="13" t="s">
        <v>52</v>
      </c>
      <c r="E28" s="4"/>
      <c r="F28" s="7" t="s">
        <v>90</v>
      </c>
      <c r="G28" s="8"/>
      <c r="H28" s="14" t="str">
        <f ca="1">IF(AND(
            OR(OFFSET($H28,0,-2) = "-",OFFSET($H28,0,-2) = ""),OFFSET($H28,0,-1) = ""),"Incomplete","Complete")</f>
        <v>Complete</v>
      </c>
      <c r="I28" s="1">
        <v>0</v>
      </c>
    </row>
    <row r="29" spans="2:9" ht="360" x14ac:dyDescent="0.2">
      <c r="B29" s="1">
        <v>1258141</v>
      </c>
      <c r="C29" s="3" t="s">
        <v>53</v>
      </c>
      <c r="D29" s="13" t="s">
        <v>54</v>
      </c>
      <c r="E29" s="4"/>
      <c r="F29" s="7" t="s">
        <v>85</v>
      </c>
      <c r="G29" s="8"/>
      <c r="H29" s="14" t="str">
        <f ca="1">IF(AND(
            OR(OFFSET($H29,0,-2) = "-",OFFSET($H29,0,-2) = ""),OFFSET($H29,0,-1) = ""),"Incomplete","Complete")</f>
        <v>Complete</v>
      </c>
      <c r="I29" s="1">
        <v>1</v>
      </c>
    </row>
    <row r="30" spans="2:9" ht="75" x14ac:dyDescent="0.2">
      <c r="B30" s="1">
        <v>1363343</v>
      </c>
      <c r="C30" s="3" t="s">
        <v>55</v>
      </c>
      <c r="D30" s="13" t="s">
        <v>56</v>
      </c>
      <c r="E30" s="4"/>
      <c r="F30" s="7" t="s">
        <v>83</v>
      </c>
      <c r="G30" s="8"/>
      <c r="H30" s="14" t="str">
        <f ca="1">IF(AND(
            OR(OFFSET($H30,0,-2) = "-",OFFSET($H30,0,-2) = ""),OFFSET($H30,0,-1) = ""),"Incomplete","Complete")</f>
        <v>Complete</v>
      </c>
      <c r="I30" s="1">
        <v>0</v>
      </c>
    </row>
    <row r="31" spans="2:9" ht="45" x14ac:dyDescent="0.2">
      <c r="B31" s="1">
        <v>1363448</v>
      </c>
      <c r="C31" s="3" t="s">
        <v>57</v>
      </c>
      <c r="D31" s="13" t="s">
        <v>58</v>
      </c>
      <c r="E31" s="4"/>
      <c r="F31" s="7" t="s">
        <v>76</v>
      </c>
      <c r="G31" s="8" t="s">
        <v>86</v>
      </c>
      <c r="H31" s="14" t="str">
        <f ca="1">IF(AND(ISNA(MATCH(OFFSET($H31,0,-2)&amp;"",responseOption6,0)),NOT(TRIM(OFFSET($H31,0,-2)) = "")),"Response must be one of "&amp;INDEX(responseValidationRulesGroup6,3,1),IF(AND(IF(ISNA(INDEX(responseValidationRulesGroup6,MATCH(OFFSET($H31,0,-2)&amp;"",responseOption6,0),2)),FALSE,INDEX(responseValidationRulesGroup6,MATCH(OFFSET($H31,0,-2)&amp;"",responseOption6,0),2)),TRIM(OFFSET($H31,0,-1)) = ""),"A comment is required for this response",IF(IF(ISNA(INDEX(responseValidationRulesGroup6,MATCH(OFFSET($H31,0,-2)&amp;"",responseOption6,0),3)),FALSE,INDEX(responseValidationRulesGroup6,MATCH(OFFSET($H31,0,-2)&amp;"",responseOption6,0),3)),IF(TRIM(OFFSET($H31,0,-1)) = "","Complete","The comment must be left blank for this response"),IF(TRIM(OFFSET($H31,0,-2))="","Incomplete", "Complete"))))</f>
        <v>Complete</v>
      </c>
      <c r="I31" s="1">
        <v>1</v>
      </c>
    </row>
    <row r="32" spans="2:9" ht="135" x14ac:dyDescent="0.2">
      <c r="B32" s="1">
        <v>1258142</v>
      </c>
      <c r="C32" s="3" t="s">
        <v>59</v>
      </c>
      <c r="D32" s="13" t="s">
        <v>60</v>
      </c>
      <c r="E32" s="4"/>
      <c r="F32" s="7" t="s">
        <v>87</v>
      </c>
      <c r="G32" s="8"/>
      <c r="H32" s="14" t="str">
        <f ca="1">IF(AND(
            OR(OFFSET($H32,0,-2) = "-",OFFSET($H32,0,-2) = ""),OFFSET($H32,0,-1) = ""),"Incomplete","Complete")</f>
        <v>Complete</v>
      </c>
      <c r="I32" s="1">
        <v>0</v>
      </c>
    </row>
    <row r="33" spans="2:8" ht="27" customHeight="1" x14ac:dyDescent="0.2">
      <c r="B33">
        <v>-1</v>
      </c>
      <c r="C33" s="55">
        <f>COUNTIF(I11:I32,"&lt;&gt;-1")</f>
        <v>19</v>
      </c>
      <c r="D33" s="56"/>
      <c r="E33" s="12"/>
      <c r="F33" s="57">
        <f ca="1">IF(C33=0,1,(COUNTIF(H11:H32,TRUE)+COUNTIF(H11:H32,"Complete")) / (C33))</f>
        <v>1</v>
      </c>
      <c r="G33" s="56"/>
      <c r="H33" s="11"/>
    </row>
  </sheetData>
  <sheetProtection password="E36C" sheet="1" objects="1" scenarios="1" insertHyperlinks="0"/>
  <mergeCells count="5">
    <mergeCell ref="C11:E11"/>
    <mergeCell ref="C16:E16"/>
    <mergeCell ref="C18:E18"/>
    <mergeCell ref="C33:D33"/>
    <mergeCell ref="F33:G33"/>
  </mergeCells>
  <conditionalFormatting sqref="C11:G32">
    <cfRule type="expression" dxfId="11" priority="4">
      <formula>$I11=1</formula>
    </cfRule>
  </conditionalFormatting>
  <conditionalFormatting sqref="H11">
    <cfRule type="containsText" dxfId="10" priority="1" operator="containsText" text="~?">
      <formula>NOT(ISERROR(SEARCH("~?",H11)))</formula>
    </cfRule>
    <cfRule type="expression" dxfId="9" priority="5">
      <formula>$H11=""</formula>
    </cfRule>
  </conditionalFormatting>
  <conditionalFormatting sqref="H11:H32">
    <cfRule type="expression" dxfId="8" priority="8">
      <formula>$H11 ="Complete"</formula>
    </cfRule>
    <cfRule type="expression" dxfId="7" priority="9">
      <formula>$H11=1</formula>
    </cfRule>
    <cfRule type="expression" dxfId="6" priority="10">
      <formula>$H11</formula>
    </cfRule>
    <cfRule type="expression" dxfId="5" priority="11">
      <formula>AND(NOT(ISBLANK($H11)), NOT($H11))</formula>
    </cfRule>
    <cfRule type="expression" dxfId="4" priority="12">
      <formula>NOT(ISBLANK($H11))</formula>
    </cfRule>
  </conditionalFormatting>
  <conditionalFormatting sqref="H16">
    <cfRule type="containsText" dxfId="3" priority="2" operator="containsText" text="~?">
      <formula>NOT(ISERROR(SEARCH("~?",H16)))</formula>
    </cfRule>
    <cfRule type="expression" dxfId="2" priority="6">
      <formula>$H16=""</formula>
    </cfRule>
  </conditionalFormatting>
  <conditionalFormatting sqref="H18">
    <cfRule type="containsText" dxfId="1" priority="3" operator="containsText" text="~?">
      <formula>NOT(ISERROR(SEARCH("~?",H18)))</formula>
    </cfRule>
    <cfRule type="expression" dxfId="0" priority="7">
      <formula>$H18=""</formula>
    </cfRule>
  </conditionalFormatting>
  <dataValidations count="7">
    <dataValidation type="list" showErrorMessage="1" errorTitle="Error - Invalid Input" error="Please select an item from the drop-down list." sqref="F19:F20" xr:uid="{00000000-0002-0000-0200-000000000000}">
      <formula1>"Yes,No"</formula1>
    </dataValidation>
    <dataValidation type="list" showErrorMessage="1" errorTitle="Error - Invalid Input" error="Please select an item from the drop-down list." sqref="F26" xr:uid="{00000000-0002-0000-0200-000001000000}">
      <formula1>"Yes - Please explain why you failed to meet the deadline,No"</formula1>
    </dataValidation>
    <dataValidation type="list" showErrorMessage="1" errorTitle="Error - Invalid Input" error="Please select an item from the drop-down list." sqref="F21" xr:uid="{00000000-0002-0000-0200-000002000000}">
      <formula1>"Yes; what changed?,No"</formula1>
    </dataValidation>
    <dataValidation type="list" showErrorMessage="1" errorTitle="Error - Invalid Input" error="Please select an item from the drop-down list." sqref="F31" xr:uid="{00000000-0002-0000-0200-000003000000}">
      <formula1>"Yes,No - What positions are open &amp; why? How does this impact your services?"</formula1>
    </dataValidation>
    <dataValidation type="list" showErrorMessage="1" errorTitle="Error - Invalid Input" error="Please select an item from the drop-down list." sqref="F22" xr:uid="{00000000-0002-0000-0200-000004000000}">
      <formula1>"Yes; How much? From what source? Why was funding lost?,No"</formula1>
    </dataValidation>
    <dataValidation type="list" showErrorMessage="1" errorTitle="Error - Invalid Input" error="Please select an item from the drop-down list." sqref="F23" xr:uid="{00000000-0002-0000-0200-000005000000}">
      <formula1>"Yes - Please list source(s) and amount(s).,No"</formula1>
    </dataValidation>
    <dataValidation type="list" showErrorMessage="1" errorTitle="Error - Invalid Input" error="Please select an item from the drop-down list." sqref="F12" xr:uid="{00000000-0002-0000-0200-000006000000}">
      <formula1>"Medical Services,Core Social Services,Quality of Life Improvement Services"</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4"/>
  <sheetViews>
    <sheetView workbookViewId="0">
      <selection sqref="A1:U4"/>
    </sheetView>
  </sheetViews>
  <sheetFormatPr defaultRowHeight="15" x14ac:dyDescent="0.2"/>
  <sheetData>
    <row r="1" spans="1:21" x14ac:dyDescent="0.2">
      <c r="A1" s="26" t="s">
        <v>61</v>
      </c>
      <c r="B1" s="1" t="b">
        <f>FALSE()</f>
        <v>0</v>
      </c>
      <c r="C1" s="1" t="b">
        <f>FALSE()</f>
        <v>0</v>
      </c>
      <c r="D1" s="26" t="s">
        <v>65</v>
      </c>
      <c r="E1" s="1" t="b">
        <f>FALSE()</f>
        <v>0</v>
      </c>
      <c r="F1" s="1" t="b">
        <f>TRUE()</f>
        <v>1</v>
      </c>
      <c r="G1" s="26" t="s">
        <v>68</v>
      </c>
      <c r="H1" s="1" t="b">
        <f>TRUE()</f>
        <v>1</v>
      </c>
      <c r="I1" s="1" t="b">
        <f>FALSE()</f>
        <v>0</v>
      </c>
      <c r="J1" s="26" t="s">
        <v>70</v>
      </c>
      <c r="K1" s="1" t="b">
        <f>TRUE()</f>
        <v>1</v>
      </c>
      <c r="L1" s="1" t="b">
        <f>FALSE()</f>
        <v>0</v>
      </c>
      <c r="M1" s="26" t="s">
        <v>72</v>
      </c>
      <c r="N1" s="1" t="b">
        <f>TRUE()</f>
        <v>1</v>
      </c>
      <c r="O1" s="1" t="b">
        <f>FALSE()</f>
        <v>0</v>
      </c>
      <c r="P1" s="26" t="s">
        <v>74</v>
      </c>
      <c r="Q1" s="1" t="b">
        <f>TRUE()</f>
        <v>1</v>
      </c>
      <c r="R1" s="1" t="b">
        <f>FALSE()</f>
        <v>0</v>
      </c>
      <c r="S1" s="26" t="s">
        <v>65</v>
      </c>
      <c r="T1" s="1" t="b">
        <f>FALSE()</f>
        <v>0</v>
      </c>
      <c r="U1" s="1" t="b">
        <f>FALSE()</f>
        <v>0</v>
      </c>
    </row>
    <row r="2" spans="1:21" x14ac:dyDescent="0.2">
      <c r="A2" s="26" t="s">
        <v>62</v>
      </c>
      <c r="B2" s="1" t="b">
        <f>FALSE()</f>
        <v>0</v>
      </c>
      <c r="C2" s="1" t="b">
        <f>FALSE()</f>
        <v>0</v>
      </c>
      <c r="D2" s="26" t="s">
        <v>66</v>
      </c>
      <c r="E2" s="1" t="b">
        <f>FALSE()</f>
        <v>0</v>
      </c>
      <c r="F2" s="1" t="b">
        <f>TRUE()</f>
        <v>1</v>
      </c>
      <c r="G2" s="26" t="s">
        <v>66</v>
      </c>
      <c r="H2" s="1" t="b">
        <f>FALSE()</f>
        <v>0</v>
      </c>
      <c r="I2" s="1" t="b">
        <f>TRUE()</f>
        <v>1</v>
      </c>
      <c r="J2" s="26" t="s">
        <v>66</v>
      </c>
      <c r="K2" s="1" t="b">
        <f>FALSE()</f>
        <v>0</v>
      </c>
      <c r="L2" s="1" t="b">
        <f>TRUE()</f>
        <v>1</v>
      </c>
      <c r="M2" s="26" t="s">
        <v>66</v>
      </c>
      <c r="N2" s="1" t="b">
        <f>FALSE()</f>
        <v>0</v>
      </c>
      <c r="O2" s="1" t="b">
        <f>TRUE()</f>
        <v>1</v>
      </c>
      <c r="P2" s="26" t="s">
        <v>66</v>
      </c>
      <c r="Q2" s="1" t="b">
        <f>FALSE()</f>
        <v>0</v>
      </c>
      <c r="R2" s="1" t="b">
        <f>TRUE()</f>
        <v>1</v>
      </c>
      <c r="S2" s="26" t="s">
        <v>76</v>
      </c>
      <c r="T2" s="1" t="b">
        <f>TRUE()</f>
        <v>1</v>
      </c>
      <c r="U2" s="1" t="b">
        <f>FALSE()</f>
        <v>0</v>
      </c>
    </row>
    <row r="3" spans="1:21" x14ac:dyDescent="0.2">
      <c r="A3" s="26" t="s">
        <v>63</v>
      </c>
      <c r="B3" s="1" t="b">
        <f>FALSE()</f>
        <v>0</v>
      </c>
      <c r="C3" s="1" t="b">
        <f>FALSE()</f>
        <v>0</v>
      </c>
      <c r="D3" s="1" t="s">
        <v>67</v>
      </c>
      <c r="E3" s="1"/>
      <c r="F3" s="1"/>
      <c r="G3" s="1" t="s">
        <v>69</v>
      </c>
      <c r="H3" s="1"/>
      <c r="I3" s="1"/>
      <c r="J3" s="1" t="s">
        <v>71</v>
      </c>
      <c r="K3" s="1"/>
      <c r="L3" s="1"/>
      <c r="M3" s="1" t="s">
        <v>73</v>
      </c>
      <c r="N3" s="1"/>
      <c r="O3" s="1"/>
      <c r="P3" s="1" t="s">
        <v>75</v>
      </c>
      <c r="Q3" s="1"/>
      <c r="R3" s="1"/>
      <c r="S3" s="1" t="s">
        <v>77</v>
      </c>
      <c r="T3" s="1"/>
      <c r="U3" s="1"/>
    </row>
    <row r="4" spans="1:21" x14ac:dyDescent="0.2">
      <c r="A4" s="1" t="s">
        <v>64</v>
      </c>
      <c r="B4" s="1"/>
      <c r="C4" s="1"/>
      <c r="D4" s="1"/>
      <c r="E4" s="1"/>
      <c r="F4" s="1"/>
      <c r="G4" s="1"/>
      <c r="H4" s="1"/>
      <c r="I4" s="1"/>
      <c r="J4" s="1"/>
      <c r="K4" s="1"/>
      <c r="L4" s="1"/>
      <c r="M4" s="1"/>
      <c r="N4" s="1"/>
      <c r="O4" s="1"/>
      <c r="P4" s="1"/>
      <c r="Q4" s="1"/>
      <c r="R4" s="1"/>
      <c r="S4" s="1"/>
      <c r="T4" s="1"/>
      <c r="U4" s="1"/>
    </row>
  </sheetData>
  <sheetProtection password="E36C"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14</vt:i4>
      </vt:variant>
    </vt:vector>
  </HeadingPairs>
  <TitlesOfParts>
    <vt:vector size="17" baseType="lpstr">
      <vt:lpstr>Instructions</vt:lpstr>
      <vt:lpstr>Summary</vt:lpstr>
      <vt:lpstr>1</vt:lpstr>
      <vt:lpstr>responseOption0</vt:lpstr>
      <vt:lpstr>responseOption1</vt:lpstr>
      <vt:lpstr>responseOption2</vt:lpstr>
      <vt:lpstr>responseOption3</vt:lpstr>
      <vt:lpstr>responseOption4</vt:lpstr>
      <vt:lpstr>responseOption5</vt:lpstr>
      <vt:lpstr>responseOption6</vt:lpstr>
      <vt:lpstr>responseValidationRulesGroup0</vt:lpstr>
      <vt:lpstr>responseValidationRulesGroup1</vt:lpstr>
      <vt:lpstr>responseValidationRulesGroup2</vt:lpstr>
      <vt:lpstr>responseValidationRulesGroup3</vt:lpstr>
      <vt:lpstr>responseValidationRulesGroup4</vt:lpstr>
      <vt:lpstr>responseValidationRulesGroup5</vt:lpstr>
      <vt:lpstr>responseValidationRulesGroup6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Response Template</dc:title>
  <dc:subject/>
  <dc:creator>Bonfire</dc:creator>
  <cp:keywords/>
  <dc:description/>
  <cp:lastModifiedBy>Amy Halstead</cp:lastModifiedBy>
  <cp:lastPrinted>2025-03-05T18:57:44Z</cp:lastPrinted>
  <dcterms:created xsi:type="dcterms:W3CDTF">2025-03-03T15:39:42Z</dcterms:created>
  <dcterms:modified xsi:type="dcterms:W3CDTF">2025-03-18T15:21:51Z</dcterms:modified>
  <cp:category/>
</cp:coreProperties>
</file>