
<file path=[Content_Types].xml><?xml version="1.0" encoding="utf-8"?>
<Types xmlns="http://schemas.openxmlformats.org/package/2006/content-types">
  <Default Extension="png" ContentType="image/png"/>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6"/>
  <workbookPr codeName="ThisWorkbook"/>
  <mc:AlternateContent xmlns:mc="http://schemas.openxmlformats.org/markup-compatibility/2006">
    <mc:Choice Requires="x15">
      <x15ac:absPath xmlns:x15ac="http://schemas.microsoft.com/office/spreadsheetml/2010/11/ac" url="C:\Users\golightlyh\Downloads\"/>
    </mc:Choice>
  </mc:AlternateContent>
  <xr:revisionPtr revIDLastSave="0" documentId="13_ncr:1_{E4953996-60D0-48DE-A0D8-84471832BE8B}" xr6:coauthVersionLast="36" xr6:coauthVersionMax="36" xr10:uidLastSave="{00000000-0000-0000-0000-000000000000}"/>
  <workbookProtection lockStructure="1"/>
  <bookViews>
    <workbookView xWindow="0" yWindow="0" windowWidth="14380" windowHeight="4810" activeTab="2" xr2:uid="{00000000-000D-0000-FFFF-FFFF00000000}"/>
  </bookViews>
  <sheets>
    <sheet name="Instructions" sheetId="1" r:id="rId1"/>
    <sheet name="Summary" sheetId="2" r:id="rId2"/>
    <sheet name="1" sheetId="3" r:id="rId3"/>
    <sheet name="Response Options (hidden)" sheetId="4" state="veryHidden" r:id="rId4"/>
  </sheets>
  <definedNames>
    <definedName name="responseOption0">'Response Options (hidden)'!$A$1:$A$3</definedName>
    <definedName name="responseOption1">'Response Options (hidden)'!$D$1:$D$2</definedName>
    <definedName name="responseOption2">'Response Options (hidden)'!$G$1:$G$2</definedName>
    <definedName name="responseOption3">'Response Options (hidden)'!$J$1:$J$2</definedName>
    <definedName name="responseOption4">'Response Options (hidden)'!$M$1:$M$2</definedName>
    <definedName name="responseOption5">'Response Options (hidden)'!$P$1:$P$2</definedName>
    <definedName name="responseOption6">'Response Options (hidden)'!$S$1:$S$2</definedName>
    <definedName name="responseValidationRulesGroup0">'Response Options (hidden)'!$A$1:$C$4</definedName>
    <definedName name="responseValidationRulesGroup1">'Response Options (hidden)'!$D$1:$F$3</definedName>
    <definedName name="responseValidationRulesGroup2">'Response Options (hidden)'!$G$1:$I$3</definedName>
    <definedName name="responseValidationRulesGroup3">'Response Options (hidden)'!$J$1:$L$3</definedName>
    <definedName name="responseValidationRulesGroup4">'Response Options (hidden)'!$M$1:$O$3</definedName>
    <definedName name="responseValidationRulesGroup5">'Response Options (hidden)'!$P$1:$R$3</definedName>
    <definedName name="responseValidationRulesGroup6">'Response Options (hidden)'!$S$1:$U$3</definedName>
  </definedNames>
  <calcPr calcId="191029" forceFullCalc="1"/>
</workbook>
</file>

<file path=xl/calcChain.xml><?xml version="1.0" encoding="utf-8"?>
<calcChain xmlns="http://schemas.openxmlformats.org/spreadsheetml/2006/main">
  <c r="C3" i="4" l="1"/>
  <c r="B3" i="4"/>
  <c r="U2" i="4"/>
  <c r="T2" i="4"/>
  <c r="R2" i="4"/>
  <c r="Q2" i="4"/>
  <c r="O2" i="4"/>
  <c r="N2" i="4"/>
  <c r="L2" i="4"/>
  <c r="K2" i="4"/>
  <c r="I2" i="4"/>
  <c r="H2" i="4"/>
  <c r="F2" i="4"/>
  <c r="E2" i="4"/>
  <c r="H20" i="3" s="1"/>
  <c r="C2" i="4"/>
  <c r="B2" i="4"/>
  <c r="U1" i="4"/>
  <c r="T1" i="4"/>
  <c r="R1" i="4"/>
  <c r="Q1" i="4"/>
  <c r="O1" i="4"/>
  <c r="N1" i="4"/>
  <c r="H23" i="3" s="1"/>
  <c r="L1" i="4"/>
  <c r="K1" i="4"/>
  <c r="I1" i="4"/>
  <c r="H1" i="4"/>
  <c r="F1" i="4"/>
  <c r="E1" i="4"/>
  <c r="C1" i="4"/>
  <c r="B1" i="4"/>
  <c r="C33" i="3"/>
  <c r="H32" i="3"/>
  <c r="H30" i="3"/>
  <c r="H29" i="3"/>
  <c r="H28" i="3"/>
  <c r="H27" i="3"/>
  <c r="H25" i="3"/>
  <c r="H24" i="3"/>
  <c r="H18" i="3"/>
  <c r="H17" i="3"/>
  <c r="H16" i="3"/>
  <c r="H15" i="3"/>
  <c r="H14" i="3"/>
  <c r="H13" i="3"/>
  <c r="H11" i="3"/>
  <c r="H12" i="3" l="1"/>
  <c r="H21" i="3"/>
  <c r="H31" i="3"/>
  <c r="H26" i="3"/>
  <c r="H22" i="3"/>
  <c r="H19" i="3"/>
  <c r="C11" i="2"/>
  <c r="C14" i="2" s="1"/>
  <c r="F33" i="3" l="1"/>
  <c r="E11" i="2" s="1"/>
  <c r="AT12" i="2" s="1"/>
  <c r="E14" i="2" l="1"/>
  <c r="M15" i="2" s="1"/>
  <c r="V12" i="2"/>
  <c r="Z12" i="2"/>
  <c r="S12" i="2"/>
  <c r="AG12" i="2"/>
  <c r="AU12" i="2"/>
  <c r="AP12" i="2"/>
  <c r="Q12" i="2"/>
  <c r="AM12" i="2"/>
  <c r="N12" i="2"/>
  <c r="AJ12" i="2"/>
  <c r="G12" i="2"/>
  <c r="AI12" i="2"/>
  <c r="AV12" i="2"/>
  <c r="R12" i="2"/>
  <c r="O12" i="2"/>
  <c r="AK12" i="2"/>
  <c r="L12" i="2"/>
  <c r="BC12" i="2"/>
  <c r="AN12" i="2"/>
  <c r="K12" i="2"/>
  <c r="BA12" i="2"/>
  <c r="T12" i="2"/>
  <c r="I12" i="2"/>
  <c r="AX12" i="2"/>
  <c r="M12" i="2"/>
  <c r="J12" i="2"/>
  <c r="BD12" i="2"/>
  <c r="AO12" i="2"/>
  <c r="AE12" i="2"/>
  <c r="AD12" i="2"/>
  <c r="AB12" i="2"/>
  <c r="U12" i="2"/>
  <c r="AH12" i="2"/>
  <c r="AA12" i="2"/>
  <c r="AR12" i="2"/>
  <c r="Y12" i="2"/>
  <c r="P12" i="2"/>
  <c r="H12" i="2"/>
  <c r="W12" i="2"/>
  <c r="AF12" i="2"/>
  <c r="AS12" i="2"/>
  <c r="BB12" i="2"/>
  <c r="X12" i="2"/>
  <c r="AQ12" i="2"/>
  <c r="AW12" i="2"/>
  <c r="AY12" i="2"/>
  <c r="AZ12" i="2"/>
  <c r="AC12" i="2"/>
  <c r="AL12" i="2"/>
  <c r="BF11" i="2"/>
  <c r="O15" i="2" l="1"/>
  <c r="X15" i="2"/>
  <c r="AL15" i="2"/>
  <c r="AR15" i="2"/>
  <c r="AT15" i="2"/>
  <c r="AP15" i="2"/>
  <c r="AO15" i="2"/>
  <c r="L15" i="2"/>
  <c r="U15" i="2"/>
  <c r="R15" i="2"/>
  <c r="AF15" i="2"/>
  <c r="AU15" i="2"/>
  <c r="J15" i="2"/>
  <c r="AZ15" i="2"/>
  <c r="T15" i="2"/>
  <c r="N15" i="2"/>
  <c r="AB15" i="2"/>
  <c r="AI15" i="2"/>
  <c r="AW15" i="2"/>
  <c r="BB15" i="2"/>
  <c r="Z15" i="2"/>
  <c r="G15" i="2"/>
  <c r="AN15" i="2"/>
  <c r="AV15" i="2"/>
  <c r="BA15" i="2"/>
  <c r="AH15" i="2"/>
  <c r="W15" i="2"/>
  <c r="AG15" i="2"/>
  <c r="BC15" i="2"/>
  <c r="AJ15" i="2"/>
  <c r="AM15" i="2"/>
  <c r="AS15" i="2"/>
  <c r="K15" i="2"/>
  <c r="AK15" i="2"/>
  <c r="AD15" i="2"/>
  <c r="AX15" i="2"/>
  <c r="Y15" i="2"/>
  <c r="AE15" i="2"/>
  <c r="AA15" i="2"/>
  <c r="AQ15" i="2"/>
  <c r="H15" i="2"/>
  <c r="V15" i="2"/>
  <c r="AC15" i="2"/>
  <c r="BD15" i="2"/>
  <c r="AY15" i="2"/>
  <c r="P15" i="2"/>
  <c r="I15" i="2"/>
  <c r="S15" i="2"/>
  <c r="Q15" i="2"/>
</calcChain>
</file>

<file path=xl/sharedStrings.xml><?xml version="1.0" encoding="utf-8"?>
<sst xmlns="http://schemas.openxmlformats.org/spreadsheetml/2006/main" count="109" uniqueCount="94">
  <si>
    <t>2f3d41caa98d3df7aef069445ae9098ee7bec5008b21e86a01ae2046fdfcd5a7deb9a51f9d4c972ee752366881144df4d8fb2186cfd6f9b9591f0d06fddc4111Pyf0ni4QOT3fmYSjSwZ99pBhGu9pyjbylfxSSxWpG7eyRFrvwK/5qy9t4jdg1k0Y</t>
  </si>
  <si>
    <t>HSAB Applicant Questions (Q-59IT)</t>
  </si>
  <si>
    <t>Instructions</t>
  </si>
  <si>
    <t>- The Summary worksheet displays your overall progress for the questionnaire.
- The worksheets numbered from 1 to N represent question sets.
- For each question set, select a response from the dropdown (if applicable) and enter a response comment for each question in the table.
- If specific instructions have been provided for a given subset, they will appear as a tooltip for a purple cell. Mouse-over to review them.
- When pasting content, please use Paste Special as Text without any formatting.
- You can only submit text based responses, please do not use special characters like emojis.
- Please do not change the structure of any of the worksheets. Changing the structure will invalidate your submission.
- Any additional information outside of the given structure of the worksheets will not be visible to the purchaser.
- Please do not save this file in a different format. Saving this file in a different format will invalidate your submission.
- Please do not use Excel formulas in your responses.
- Please follow the instructions provided along with this file to submit it back to Bonfire.
- If you have any questions regarding the content of this file, please contact the appropriate purchaser.
- If you have any technical problems, please contact Bonfire at Support@GoBonfire.com.</t>
  </si>
  <si>
    <t>Additional Instructions</t>
  </si>
  <si>
    <t>Summary tab shows progress completed, Tab 1 contains the questions to be answered.</t>
  </si>
  <si>
    <t>Total</t>
  </si>
  <si>
    <t>Summary</t>
  </si>
  <si>
    <t>Question Set</t>
  </si>
  <si>
    <t>Questions</t>
  </si>
  <si>
    <t>Hide Me</t>
  </si>
  <si>
    <t>% Complete</t>
  </si>
  <si>
    <t>Progress</t>
  </si>
  <si>
    <t>Error?</t>
  </si>
  <si>
    <t>Question Set 1: Questions</t>
  </si>
  <si>
    <t>#</t>
  </si>
  <si>
    <t>Question</t>
  </si>
  <si>
    <t>Response</t>
  </si>
  <si>
    <t>Comment</t>
  </si>
  <si>
    <t>Status</t>
  </si>
  <si>
    <t>General Use of Funds</t>
  </si>
  <si>
    <t>1.1.1</t>
  </si>
  <si>
    <t xml:space="preserve">
Amount requested for the upcoming fiscal year and select the category that best matches the proposed services. If the proposed program involves more than one (1) category enter the budget request for each category.
-Medical Services: Medical, mental, and dental care for the economically disadvantaged.
-Core Social Services: Essential services such as food clothing or housing: emergency disaster; family violence; and adult and child daycare.
-Quality of Life Improvement Services: Services provided to improve the quality of life for individuals or the community such as educational, preventative, training, recreational, and cultural services; etc.
</t>
  </si>
  <si>
    <t>1.1.2</t>
  </si>
  <si>
    <t xml:space="preserve">
Insert your agency’s board-approved mission statement only.
</t>
  </si>
  <si>
    <t>1.1.3</t>
  </si>
  <si>
    <t xml:space="preserve">
List the services your agency provides.
</t>
  </si>
  <si>
    <t>1.1.4</t>
  </si>
  <si>
    <t xml:space="preserve">
For fiscal year 2026, specifically how will the amount requested be utilized?
</t>
  </si>
  <si>
    <t>Cover Letter</t>
  </si>
  <si>
    <t>1.2.1</t>
  </si>
  <si>
    <t xml:space="preserve">
I: Provide a brief overview of your organization, what unique role in the community does your organization's proposed program fulfill that no one else does? 
II: Collaboration between agencies can bring cost-savings for all. Please describe any current cost-sharing measures, overlap, common associations, common services, networking and working relationships, or sub-contractor relationships you are involved in with any other organizations. Examples may include, but aren't limited to, shared services such as human resources, payroll processing, or IT, board members, or personnel.
</t>
  </si>
  <si>
    <t>Application Questions</t>
  </si>
  <si>
    <t>1.3.1</t>
  </si>
  <si>
    <t xml:space="preserve">
Have you previously been funded by HSAB?
</t>
  </si>
  <si>
    <t>1.3.2</t>
  </si>
  <si>
    <t xml:space="preserve">
Will County HSAB funds be used as match for a grant?
</t>
  </si>
  <si>
    <t>1.3.3</t>
  </si>
  <si>
    <t xml:space="preserve">
Have you experienced any changes specific to expansion or contraction of services, staff or location.
</t>
  </si>
  <si>
    <t>1.3.4</t>
  </si>
  <si>
    <t xml:space="preserve">
Did your agency lose any funding, or partial funding in 2025?
</t>
  </si>
  <si>
    <t>1.3.5</t>
  </si>
  <si>
    <t xml:space="preserve">
Will you or have you applied for other sources of County funding? 
(Please include these on the Agency Revenue form)
</t>
  </si>
  <si>
    <t>1.3.6</t>
  </si>
  <si>
    <t xml:space="preserve">
Describe your target population as specifically as possible.
</t>
  </si>
  <si>
    <t>1.3.7</t>
  </si>
  <si>
    <t xml:space="preserve">
How are clients referred to your agency?
</t>
  </si>
  <si>
    <t>1.3.8</t>
  </si>
  <si>
    <t xml:space="preserve">
Have you failed to submit any required reimbursement request, or the annual performance report as required by the grant agreement?
</t>
  </si>
  <si>
    <t>1.3.9</t>
  </si>
  <si>
    <t xml:space="preserve">
__________ hours of program service were contributed by ____________ volunteers in the last year (FY2023 - October 1, 2023 through September 30, 2024).
</t>
  </si>
  <si>
    <t>1.3.10</t>
  </si>
  <si>
    <t xml:space="preserve">
What measurable outcomes do you plan to accomplish in the next funding year and how will you measure these?
</t>
  </si>
  <si>
    <t>1.3.11</t>
  </si>
  <si>
    <t xml:space="preserve">
Provide information about units of service in the format below. (Response not required is applying for $5,000 or less).
Service: ______      Unit (Hour, session, day, etc.): ________       Cost charged per unit to client (range for current year): _____________
</t>
  </si>
  <si>
    <t>1.3.12</t>
  </si>
  <si>
    <t xml:space="preserve">
What is the current number of employees, full-time and part-time, on the payroll for the entire organization? How many employees ("snapshot") does your organization have as of today's date?
</t>
  </si>
  <si>
    <t>1.3.13</t>
  </si>
  <si>
    <t xml:space="preserve">
Is your organization fully staffed?
</t>
  </si>
  <si>
    <t>1.3.14</t>
  </si>
  <si>
    <t xml:space="preserve">
Address any topics not covered or include any additional information you would like the board to know (optional). Documents can be added in file uploads as under additional documentation.
</t>
  </si>
  <si>
    <t>Medical Services</t>
  </si>
  <si>
    <t>Core Social Services</t>
  </si>
  <si>
    <t>Quality of Life Improvement Services</t>
  </si>
  <si>
    <t>Medical Services, Core Social Services, Quality of Life Improvement Services</t>
  </si>
  <si>
    <t>Yes</t>
  </si>
  <si>
    <t>No</t>
  </si>
  <si>
    <t>Yes, No</t>
  </si>
  <si>
    <t>Yes; what changed?</t>
  </si>
  <si>
    <t>Yes; what changed?, No</t>
  </si>
  <si>
    <t>Yes; How much? From what source? Why was funding lost?</t>
  </si>
  <si>
    <t>Yes; How much? From what source? Why was funding lost?, No</t>
  </si>
  <si>
    <t>Yes - Please list source(s) and amount(s).</t>
  </si>
  <si>
    <t>Yes - Please list source(s) and amount(s)., No</t>
  </si>
  <si>
    <t>Yes - Please explain why you failed to meet the deadline</t>
  </si>
  <si>
    <t>Yes - Please explain why you failed to meet the deadline, No</t>
  </si>
  <si>
    <t>No - What positions are open &amp; why? How does this impact your services?</t>
  </si>
  <si>
    <t>Yes, No - What positions are open &amp; why? How does this impact your services?</t>
  </si>
  <si>
    <t>To provide programs, education, awareness and opportunities that empower children, youth and adults to improve health, wellness and skills for success in school and in life.</t>
  </si>
  <si>
    <t>Academic and social Mentoring for high-risk youth; Truancy Prevention; Drop out prevention; Literacy Support; Drug, alcohol and Violence prevention; Civic engagement opportunities; Leadership Programs.</t>
  </si>
  <si>
    <t>Youth referrals are received from Monroe County School District personnel, school administrators, guidance counselors, teachers, parents, peers and coaches. The adult programs are advertised through churches and libraries.</t>
  </si>
  <si>
    <t>3</t>
  </si>
  <si>
    <t>NA</t>
  </si>
  <si>
    <t>0/0/0</t>
  </si>
  <si>
    <t>Sheriff's Asset Forfeiture Fund - Requested $10,000.00</t>
  </si>
  <si>
    <t>1220/106</t>
  </si>
  <si>
    <t>We do not charge for services.</t>
  </si>
  <si>
    <t>The Prevention Coordinators, Literacy Coaches and Success Coaches will all be funded through this grant.If fully funded, a Success Coach for Horace O'Bryant Middle School will be hired.</t>
  </si>
  <si>
    <t xml:space="preserve">I. Keys to Be the Change (KTBTC) provides unduplicated academic and social mentoring/tutoring to K through 12 high-risk youth in our community. Each of our programs is designed to help youth who are not achieving to their potential academically or socially within the school system. Partnerships have been established between school administrators, guidance counselors, community volunteers, teachers, and parents to help engage these underperforming students. The format of our programs follows the hgihly successful Take Stock Program sponsored by the Monroe County Educational Foundation. Our programs include mentor/tutor training, mentor background checks,   weeky school site visits by mentors, Success Coaches and Literacy Coaches who are in the schools every day. Progress is tracked weekly. The goal of these programs is to foster student success and to provide students with the support necessary to advance themselves by becoming self-motivated responsible citizens in their community. II. Keys to Be the Change collaborates with the US Military, the Key West Police Department, Guidance Care Center, Monroe Fire Rescue, and the City of Key West. All these partnerships help provide tutors and mentors to high-risk youth in our programs. </t>
  </si>
  <si>
    <t>Michelle's Foundation gave KTBTC $10,000.00 last year to pay off school lunch debt for children in K-12. This was a one time event. Keys to Be the Change has a candidate to fill the position of Success Coach at Horace O'Bryant Middle School. This person requires $50,000.00 per year without any benefits. Funding for this new position is our latest expansion effort  to help more youth in our community.</t>
  </si>
  <si>
    <t>All elementary, middle and high school students from Key West to Sugarloaf will be offered services for the 2025/26 school year. Youth ages 6-18 are our focus. We will also provide services to non-English speaking adults in our community. This is done by hosting conversational English classes each week at local churches.</t>
  </si>
  <si>
    <t>Measurable outcomes of our Kids Win Mentoring Program are determined by an increase in grades and/or a decrease in truancy as well as the graduation rate of our clients. Schools report advances in STAR test scores for the MORE Literacy Program.The number of participants in our in-school and evening conversational English programs will  determine the success of the ELL program.</t>
  </si>
  <si>
    <t>The expansion of a Success Coach to Horace O'Bryant Middle School is currently not staffed. We do have a candidate that has committed to start working with KTBTC 7/1/25 based on obtaining funding for the position.</t>
  </si>
  <si>
    <t>$80,000.00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</si>
</sst>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quot;Questions&quot;"/>
    <numFmt numFmtId="165" formatCode="0\ &quot;pts&quot;"/>
    <numFmt numFmtId="166" formatCode="0.00%\ &quot;Complete&quot;"/>
    <numFmt numFmtId="167" formatCode="&quot;The comment must be left blank for this response&quot;"/>
  </numFmts>
  <fonts count="5" x14ac:knownFonts="1">
    <font>
      <sz val="12"/>
      <color rgb="FF000000"/>
      <name val="Arial"/>
    </font>
    <font>
      <b/>
      <sz val="22"/>
      <color rgb="FF404040"/>
      <name val="Arial"/>
    </font>
    <font>
      <b/>
      <sz val="12"/>
      <color rgb="FFFFFFFF"/>
      <name val="Arial"/>
    </font>
    <font>
      <b/>
      <sz val="14"/>
      <color rgb="FFFFFFFF"/>
      <name val="Arial"/>
    </font>
    <font>
      <sz val="12"/>
      <color rgb="FFFFFFFF"/>
      <name val="Arial"/>
    </font>
  </fonts>
  <fills count="7">
    <fill>
      <patternFill patternType="none"/>
    </fill>
    <fill>
      <patternFill patternType="gray125"/>
    </fill>
    <fill>
      <patternFill patternType="solid">
        <fgColor rgb="FFFFFFFF"/>
        <bgColor rgb="FF000000"/>
      </patternFill>
    </fill>
    <fill>
      <patternFill patternType="solid">
        <fgColor rgb="FFF2F2F2"/>
        <bgColor rgb="FF000000"/>
      </patternFill>
    </fill>
    <fill>
      <patternFill patternType="solid">
        <fgColor rgb="FF5FADCF"/>
        <bgColor rgb="FF000000"/>
      </patternFill>
    </fill>
    <fill>
      <patternFill patternType="solid">
        <fgColor rgb="FF548BA1"/>
        <bgColor rgb="FF000000"/>
      </patternFill>
    </fill>
    <fill>
      <patternFill patternType="solid">
        <fgColor rgb="FF7F7F7F"/>
        <bgColor rgb="FF000000"/>
      </patternFill>
    </fill>
  </fills>
  <borders count="25">
    <border>
      <left/>
      <right/>
      <top/>
      <bottom/>
      <diagonal/>
    </border>
    <border>
      <left style="thin">
        <color rgb="FFBFBFBF"/>
      </left>
      <right style="dotted">
        <color rgb="FFBFBFBF"/>
      </right>
      <top style="thin">
        <color rgb="FFBFBFBF"/>
      </top>
      <bottom style="thin">
        <color rgb="FFBFBFBF"/>
      </bottom>
      <diagonal/>
    </border>
    <border>
      <left style="dotted">
        <color rgb="FFBFBFBF"/>
      </left>
      <right style="dotted">
        <color rgb="FFBFBFBF"/>
      </right>
      <top style="thin">
        <color rgb="FFBFBFBF"/>
      </top>
      <bottom style="thin">
        <color rgb="FFBFBFBF"/>
      </bottom>
      <diagonal/>
    </border>
    <border>
      <left style="dotted">
        <color rgb="FFBFBFBF"/>
      </left>
      <right style="thin">
        <color rgb="FFBFBFBF"/>
      </right>
      <top style="thin">
        <color rgb="FFBFBFBF"/>
      </top>
      <bottom style="thin">
        <color rgb="FFBFBFBF"/>
      </bottom>
      <diagonal/>
    </border>
    <border>
      <left/>
      <right style="dotted">
        <color rgb="FFBFBFBF"/>
      </right>
      <top/>
      <bottom/>
      <diagonal/>
    </border>
    <border>
      <left style="dotted">
        <color rgb="FFBFBFBF"/>
      </left>
      <right style="dotted">
        <color rgb="FFBFBFBF"/>
      </right>
      <top/>
      <bottom/>
      <diagonal/>
    </border>
    <border>
      <left style="dotted">
        <color rgb="FFBFBFBF"/>
      </left>
      <right/>
      <top/>
      <bottom/>
      <diagonal/>
    </border>
    <border>
      <left/>
      <right/>
      <top style="medium">
        <color rgb="FFBFBFBF"/>
      </top>
      <bottom/>
      <diagonal/>
    </border>
    <border>
      <left style="dotted">
        <color rgb="FFBFBFBF"/>
      </left>
      <right/>
      <top style="thin">
        <color rgb="FFBFBFBF"/>
      </top>
      <bottom/>
      <diagonal/>
    </border>
    <border>
      <left style="dotted">
        <color rgb="FFBFBFBF"/>
      </left>
      <right/>
      <top/>
      <bottom/>
      <diagonal/>
    </border>
    <border>
      <left style="dotted">
        <color rgb="FFBFBFBF"/>
      </left>
      <right/>
      <top/>
      <bottom style="thin">
        <color rgb="FFBFBFBF"/>
      </bottom>
      <diagonal/>
    </border>
    <border>
      <left/>
      <right/>
      <top style="thin">
        <color rgb="FFBFBFBF"/>
      </top>
      <bottom/>
      <diagonal/>
    </border>
    <border>
      <left/>
      <right/>
      <top/>
      <bottom style="thin">
        <color rgb="FFBFBFBF"/>
      </bottom>
      <diagonal/>
    </border>
    <border>
      <left/>
      <right style="dotted">
        <color rgb="FFBFBFBF"/>
      </right>
      <top style="thin">
        <color rgb="FFBFBFBF"/>
      </top>
      <bottom/>
      <diagonal/>
    </border>
    <border>
      <left/>
      <right style="dotted">
        <color rgb="FFBFBFBF"/>
      </right>
      <top/>
      <bottom/>
      <diagonal/>
    </border>
    <border>
      <left/>
      <right style="dotted">
        <color rgb="FFBFBFBF"/>
      </right>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right style="thin">
        <color rgb="FFBFBFBF"/>
      </right>
      <top style="thin">
        <color rgb="FFBFBFBF"/>
      </top>
      <bottom style="thin">
        <color rgb="FFBFBFBF"/>
      </bottom>
      <diagonal/>
    </border>
    <border>
      <left style="thin">
        <color rgb="FFBFBFBF"/>
      </left>
      <right style="dotted">
        <color rgb="FFBFBFBF"/>
      </right>
      <top style="medium">
        <color rgb="FFBFBFBF"/>
      </top>
      <bottom style="thin">
        <color rgb="FFBFBFBF"/>
      </bottom>
      <diagonal/>
    </border>
    <border>
      <left style="dotted">
        <color rgb="FFBFBFBF"/>
      </left>
      <right style="dotted">
        <color rgb="FFBFBFBF"/>
      </right>
      <top style="medium">
        <color rgb="FFBFBFBF"/>
      </top>
      <bottom style="thin">
        <color rgb="FFBFBFBF"/>
      </bottom>
      <diagonal/>
    </border>
    <border>
      <left style="dotted">
        <color rgb="FFBFBFBF"/>
      </left>
      <right/>
      <top style="medium">
        <color rgb="FFBFBFBF"/>
      </top>
      <bottom/>
      <diagonal/>
    </border>
    <border>
      <left/>
      <right/>
      <top style="medium">
        <color rgb="FFBFBFBF"/>
      </top>
      <bottom/>
      <diagonal/>
    </border>
    <border>
      <left/>
      <right style="dotted">
        <color rgb="FFBFBFBF"/>
      </right>
      <top style="medium">
        <color rgb="FFBFBFBF"/>
      </top>
      <bottom/>
      <diagonal/>
    </border>
    <border>
      <left style="dotted">
        <color rgb="FFBFBFBF"/>
      </left>
      <right style="thin">
        <color rgb="FFBFBFBF"/>
      </right>
      <top style="medium">
        <color rgb="FFBFBFBF"/>
      </top>
      <bottom style="thin">
        <color rgb="FFBFBFBF"/>
      </bottom>
      <diagonal/>
    </border>
  </borders>
  <cellStyleXfs count="1">
    <xf numFmtId="0" fontId="0" fillId="0" borderId="0"/>
  </cellStyleXfs>
  <cellXfs count="58">
    <xf numFmtId="0" fontId="0" fillId="2" borderId="0" xfId="0" applyFill="1" applyProtection="1">
      <protection locked="0"/>
    </xf>
    <xf numFmtId="0" fontId="0" fillId="2" borderId="0" xfId="0" applyFill="1"/>
    <xf numFmtId="0" fontId="1" fillId="2" borderId="0" xfId="0" applyFont="1" applyFill="1" applyAlignment="1">
      <alignment horizontal="left"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2" fillId="4" borderId="0" xfId="0" applyFont="1" applyFill="1" applyAlignment="1">
      <alignment horizontal="center" vertical="center" wrapText="1"/>
    </xf>
    <xf numFmtId="0" fontId="2" fillId="5" borderId="0" xfId="0" applyFont="1" applyFill="1" applyAlignment="1">
      <alignment horizontal="center" vertical="center" wrapText="1"/>
    </xf>
    <xf numFmtId="49" fontId="0" fillId="3" borderId="2" xfId="0" applyNumberFormat="1" applyFill="1" applyBorder="1" applyAlignment="1" applyProtection="1">
      <alignment horizontal="center" vertical="center" wrapText="1"/>
      <protection locked="0"/>
    </xf>
    <xf numFmtId="49" fontId="0" fillId="3" borderId="3" xfId="0" applyNumberFormat="1" applyFill="1" applyBorder="1" applyAlignment="1" applyProtection="1">
      <alignment horizontal="left" vertical="center" wrapText="1" indent="1"/>
      <protection locked="0"/>
    </xf>
    <xf numFmtId="0" fontId="3" fillId="6" borderId="4" xfId="0" applyFont="1" applyFill="1" applyBorder="1" applyAlignment="1" applyProtection="1">
      <alignment horizontal="left" vertical="center" indent="1"/>
      <protection locked="0"/>
    </xf>
    <xf numFmtId="0" fontId="3" fillId="6" borderId="6" xfId="0" applyFont="1" applyFill="1" applyBorder="1" applyAlignment="1" applyProtection="1">
      <alignment horizontal="left" vertical="center" wrapText="1" indent="1"/>
      <protection locked="0"/>
    </xf>
    <xf numFmtId="0" fontId="3" fillId="4" borderId="7" xfId="0" applyFont="1" applyFill="1" applyBorder="1" applyAlignment="1">
      <alignment horizontal="center" vertical="center"/>
    </xf>
    <xf numFmtId="165" fontId="3" fillId="4" borderId="7" xfId="0" applyNumberFormat="1" applyFont="1" applyFill="1" applyBorder="1" applyAlignment="1">
      <alignment horizontal="center" vertical="center"/>
    </xf>
    <xf numFmtId="0" fontId="0" fillId="3" borderId="2" xfId="0" applyFill="1" applyBorder="1" applyAlignment="1">
      <alignment horizontal="left" vertical="center" wrapText="1" indent="1"/>
    </xf>
    <xf numFmtId="167" fontId="0" fillId="2" borderId="0" xfId="0" applyNumberFormat="1" applyFill="1" applyAlignment="1">
      <alignment vertical="center" wrapText="1" indent="1" shrinkToFi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4" xfId="0" applyFont="1" applyFill="1" applyBorder="1" applyAlignment="1">
      <alignment horizontal="center" vertical="center"/>
    </xf>
    <xf numFmtId="0" fontId="4" fillId="3" borderId="15"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7" xfId="0" applyFont="1" applyFill="1" applyBorder="1" applyAlignment="1">
      <alignment horizontal="center" vertical="center"/>
    </xf>
    <xf numFmtId="0" fontId="4" fillId="3" borderId="18" xfId="0" applyFont="1" applyFill="1" applyBorder="1" applyAlignment="1">
      <alignment horizontal="center" vertical="center"/>
    </xf>
    <xf numFmtId="49" fontId="0" fillId="2" borderId="0" xfId="0" applyNumberFormat="1" applyFill="1"/>
    <xf numFmtId="0" fontId="3" fillId="4" borderId="21" xfId="0" applyFont="1" applyFill="1" applyBorder="1" applyAlignment="1">
      <alignment horizontal="center" vertical="center"/>
    </xf>
    <xf numFmtId="0" fontId="3" fillId="4" borderId="22" xfId="0" applyFont="1" applyFill="1" applyBorder="1" applyAlignment="1">
      <alignment horizontal="center" vertical="center"/>
    </xf>
    <xf numFmtId="0" fontId="3" fillId="4" borderId="23"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2" xfId="0" applyFont="1" applyFill="1" applyBorder="1" applyAlignment="1">
      <alignment horizontal="center" vertical="center"/>
    </xf>
    <xf numFmtId="0" fontId="3" fillId="4" borderId="15" xfId="0" applyFont="1" applyFill="1" applyBorder="1" applyAlignment="1">
      <alignment horizontal="center" vertical="center"/>
    </xf>
    <xf numFmtId="0" fontId="1" fillId="2" borderId="0" xfId="0" applyFont="1" applyFill="1" applyAlignment="1">
      <alignment horizontal="left" vertical="center" wrapText="1"/>
    </xf>
    <xf numFmtId="0" fontId="0" fillId="2" borderId="0" xfId="0" applyFill="1" applyProtection="1">
      <protection locked="0"/>
    </xf>
    <xf numFmtId="0" fontId="0" fillId="3" borderId="0" xfId="0" applyFill="1" applyAlignment="1">
      <alignment vertical="center" wrapText="1"/>
    </xf>
    <xf numFmtId="0" fontId="0" fillId="2" borderId="0" xfId="0" applyFill="1" applyAlignment="1">
      <alignment vertical="top" wrapText="1"/>
    </xf>
    <xf numFmtId="0" fontId="2" fillId="4" borderId="0" xfId="0" applyFont="1" applyFill="1" applyAlignment="1">
      <alignment horizontal="center" vertical="center" wrapText="1"/>
    </xf>
    <xf numFmtId="0" fontId="3" fillId="4" borderId="19"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20"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24" xfId="0" applyFont="1" applyFill="1" applyBorder="1" applyAlignment="1">
      <alignment horizontal="center" vertical="center"/>
    </xf>
    <xf numFmtId="0" fontId="3" fillId="4" borderId="3" xfId="0" applyFont="1" applyFill="1" applyBorder="1" applyAlignment="1">
      <alignment horizontal="center" vertical="center"/>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3" fillId="6" borderId="4" xfId="0" applyFont="1" applyFill="1" applyBorder="1" applyAlignment="1">
      <alignment horizontal="left" vertical="center" wrapText="1" indent="1"/>
    </xf>
    <xf numFmtId="0" fontId="3" fillId="6" borderId="5" xfId="0" applyFont="1" applyFill="1" applyBorder="1" applyAlignment="1">
      <alignment horizontal="left" vertical="center" wrapText="1" indent="1"/>
    </xf>
    <xf numFmtId="0" fontId="3" fillId="6" borderId="6" xfId="0" applyFont="1" applyFill="1" applyBorder="1" applyAlignment="1">
      <alignment horizontal="left" vertical="center" wrapText="1" indent="1"/>
    </xf>
    <xf numFmtId="164" fontId="3" fillId="4" borderId="7" xfId="0" applyNumberFormat="1" applyFont="1" applyFill="1" applyBorder="1" applyAlignment="1">
      <alignment horizontal="center" vertical="center"/>
    </xf>
    <xf numFmtId="0" fontId="3" fillId="4" borderId="7" xfId="0" applyFont="1" applyFill="1" applyBorder="1" applyAlignment="1">
      <alignment horizontal="center" vertical="center"/>
    </xf>
    <xf numFmtId="166" fontId="3" fillId="4" borderId="7" xfId="0" applyNumberFormat="1" applyFont="1" applyFill="1" applyBorder="1" applyAlignment="1">
      <alignment horizontal="center" vertical="center"/>
    </xf>
  </cellXfs>
  <cellStyles count="1">
    <cellStyle name="Normal" xfId="0" builtinId="0"/>
  </cellStyles>
  <dxfs count="20">
    <dxf>
      <font>
        <b/>
        <color rgb="FF9C0006"/>
      </font>
      <fill>
        <patternFill patternType="solid">
          <fgColor rgb="FFF7C6CE"/>
          <bgColor rgb="FFF7C6CE"/>
        </patternFill>
      </fill>
    </dxf>
    <dxf>
      <font>
        <color rgb="FFF7C6CE"/>
      </font>
      <fill>
        <patternFill patternType="solid">
          <fgColor rgb="FFF7C6CE"/>
          <bgColor rgb="FFF7C6CE"/>
        </patternFill>
      </fill>
    </dxf>
    <dxf>
      <font>
        <color rgb="FFC5EFCE"/>
      </font>
      <fill>
        <patternFill patternType="solid">
          <fgColor rgb="FFC5EFCE"/>
          <bgColor rgb="FFC5EFCE"/>
        </patternFill>
      </fill>
    </dxf>
    <dxf>
      <font>
        <b val="0"/>
        <color rgb="FF404040"/>
      </font>
      <fill>
        <patternFill patternType="solid">
          <fgColor rgb="FFC5EFCE"/>
          <bgColor rgb="FFC5EFCE"/>
        </patternFill>
      </fill>
      <alignment horizontal="left" vertical="center"/>
    </dxf>
    <dxf>
      <font>
        <b/>
        <color rgb="FF006100"/>
      </font>
      <fill>
        <patternFill patternType="solid">
          <fgColor rgb="FFC5EFCE"/>
          <bgColor rgb="FFC5EFCE"/>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ont>
        <b/>
        <sz val="14"/>
        <color rgb="FFFFFFFF"/>
      </font>
      <fill>
        <patternFill patternType="solid">
          <fgColor rgb="FFFFFFFF"/>
          <bgColor rgb="FFFFFFFF"/>
        </patternFill>
      </fill>
    </dxf>
    <dxf>
      <fill>
        <patternFill patternType="solid">
          <fgColor rgb="FFFFFFFF"/>
          <bgColor rgb="FFFFFFFF"/>
        </patternFill>
      </fill>
    </dxf>
    <dxf>
      <font>
        <b/>
        <color rgb="FF9C0006"/>
      </font>
      <fill>
        <patternFill patternType="solid">
          <fgColor rgb="FFF7C6CE"/>
          <bgColor rgb="FFF7C6CE"/>
        </patternFill>
      </fill>
    </dxf>
    <dxf>
      <font>
        <b/>
        <color rgb="FF006100"/>
      </font>
      <fill>
        <patternFill patternType="solid">
          <fgColor rgb="FFC5EFCE"/>
          <bgColor rgb="FFC5EFCE"/>
        </patternFill>
      </fill>
    </dxf>
    <dxf>
      <numFmt numFmtId="14" formatCode="0.00%"/>
    </dxf>
    <dxf>
      <font>
        <color rgb="FFFFFFFF"/>
      </font>
      <fill>
        <patternFill patternType="solid">
          <fgColor rgb="FFFFFFFF"/>
          <bgColor rgb="FFFFFFFF"/>
        </patternFill>
      </fill>
    </dxf>
    <dxf>
      <font>
        <b/>
        <color rgb="FFC5EFCE"/>
      </font>
      <fill>
        <patternFill patternType="solid">
          <fgColor rgb="FFC5EFCE"/>
          <bgColor rgb="FFC5EFCE"/>
        </patternFill>
      </fill>
    </dxf>
    <dxf>
      <font>
        <color rgb="FFFFFFFF"/>
      </font>
      <fill>
        <patternFill patternType="solid">
          <fgColor rgb="FFFFFFFF"/>
          <bgColor rgb="FFFFFFFF"/>
        </patternFill>
      </fill>
    </dxf>
    <dxf>
      <font>
        <b/>
        <color rgb="FFC5EFCE"/>
      </font>
      <fill>
        <patternFill patternType="solid">
          <fgColor rgb="FFC5EFCE"/>
          <bgColor rgb="FFC5EF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0</xdr:colOff>
      <xdr:row>1</xdr:row>
      <xdr:rowOff>0</xdr:rowOff>
    </xdr:from>
    <xdr:ext cx="2695575" cy="733425"/>
    <xdr:pic>
      <xdr:nvPicPr>
        <xdr:cNvPr id="2" name="Monroe County, FL_Logo" descr="Monroe County, FL">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ZZ702"/>
  <sheetViews>
    <sheetView showRowColHeaders="0" topLeftCell="A53" workbookViewId="0">
      <selection activeCell="B16" sqref="B16:E16"/>
    </sheetView>
  </sheetViews>
  <sheetFormatPr defaultRowHeight="15.5" x14ac:dyDescent="0.35"/>
  <cols>
    <col min="2" max="5" width="25" customWidth="1"/>
    <col min="702" max="702" width="9.07421875" hidden="1"/>
  </cols>
  <sheetData>
    <row r="8" spans="2:5" ht="32" customHeight="1" x14ac:dyDescent="0.35">
      <c r="B8" s="38" t="s">
        <v>1</v>
      </c>
      <c r="C8" s="39"/>
      <c r="D8" s="39"/>
      <c r="E8" s="39"/>
    </row>
    <row r="10" spans="2:5" ht="28" x14ac:dyDescent="0.35">
      <c r="B10" s="2" t="s">
        <v>2</v>
      </c>
    </row>
    <row r="12" spans="2:5" ht="409.6" customHeight="1" x14ac:dyDescent="0.35">
      <c r="B12" s="40" t="s">
        <v>3</v>
      </c>
      <c r="C12" s="40"/>
      <c r="D12" s="40"/>
      <c r="E12" s="40"/>
    </row>
    <row r="14" spans="2:5" ht="28" x14ac:dyDescent="0.35">
      <c r="B14" s="2" t="s">
        <v>4</v>
      </c>
    </row>
    <row r="16" spans="2:5" ht="16" customHeight="1" x14ac:dyDescent="0.35">
      <c r="B16" s="41" t="s">
        <v>5</v>
      </c>
      <c r="C16" s="39"/>
      <c r="D16" s="39"/>
      <c r="E16" s="39"/>
    </row>
    <row r="702" spans="702:702" x14ac:dyDescent="0.35">
      <c r="ZZ702" s="1" t="s">
        <v>0</v>
      </c>
    </row>
  </sheetData>
  <sheetProtection password="E36C" sheet="1" objects="1" scenarios="1" insertHyperlinks="0"/>
  <mergeCells count="3">
    <mergeCell ref="B8:E8"/>
    <mergeCell ref="B12:E12"/>
    <mergeCell ref="B16:E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BF16"/>
  <sheetViews>
    <sheetView showRowColHeaders="0" workbookViewId="0">
      <pane ySplit="10" topLeftCell="A11" activePane="bottomLeft" state="frozen"/>
      <selection pane="bottomLeft" activeCell="B11" sqref="B11:BF13"/>
    </sheetView>
  </sheetViews>
  <sheetFormatPr defaultRowHeight="15.5" x14ac:dyDescent="0.35"/>
  <cols>
    <col min="2" max="3" width="20" customWidth="1"/>
    <col min="4" max="4" width="9.07421875" hidden="1"/>
    <col min="5" max="5" width="20" customWidth="1"/>
    <col min="6" max="6" width="2" customWidth="1"/>
    <col min="7" max="56" width="1" customWidth="1"/>
    <col min="57" max="57" width="2" customWidth="1"/>
    <col min="58" max="58" width="20" customWidth="1"/>
  </cols>
  <sheetData>
    <row r="2" spans="2:58" hidden="1" x14ac:dyDescent="0.35"/>
    <row r="3" spans="2:58" hidden="1" x14ac:dyDescent="0.35"/>
    <row r="4" spans="2:58" hidden="1" x14ac:dyDescent="0.35"/>
    <row r="5" spans="2:58" hidden="1" x14ac:dyDescent="0.35"/>
    <row r="6" spans="2:58" hidden="1" x14ac:dyDescent="0.35"/>
    <row r="7" spans="2:58" hidden="1" x14ac:dyDescent="0.35"/>
    <row r="8" spans="2:58" ht="28" x14ac:dyDescent="0.35">
      <c r="B8" s="2" t="s">
        <v>7</v>
      </c>
    </row>
    <row r="10" spans="2:58" ht="32" customHeight="1" x14ac:dyDescent="0.35">
      <c r="B10" s="5" t="s">
        <v>8</v>
      </c>
      <c r="C10" s="5" t="s">
        <v>9</v>
      </c>
      <c r="D10" s="5" t="s">
        <v>10</v>
      </c>
      <c r="E10" s="5" t="s">
        <v>11</v>
      </c>
      <c r="F10" s="42" t="s">
        <v>12</v>
      </c>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5" t="s">
        <v>13</v>
      </c>
    </row>
    <row r="11" spans="2:58" x14ac:dyDescent="0.35">
      <c r="B11" s="49">
        <v>1</v>
      </c>
      <c r="C11" s="50">
        <f>'1'!C33</f>
        <v>19</v>
      </c>
      <c r="D11" s="50"/>
      <c r="E11" s="50">
        <f ca="1">'1'!F33</f>
        <v>1</v>
      </c>
      <c r="F11" s="15"/>
      <c r="G11" s="18"/>
      <c r="H11" s="18"/>
      <c r="I11" s="18"/>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c r="AN11" s="18"/>
      <c r="AO11" s="18"/>
      <c r="AP11" s="18"/>
      <c r="AQ11" s="18"/>
      <c r="AR11" s="18"/>
      <c r="AS11" s="18"/>
      <c r="AT11" s="18"/>
      <c r="AU11" s="18"/>
      <c r="AV11" s="18"/>
      <c r="AW11" s="18"/>
      <c r="AX11" s="18"/>
      <c r="AY11" s="18"/>
      <c r="AZ11" s="18"/>
      <c r="BA11" s="18"/>
      <c r="BB11" s="18"/>
      <c r="BC11" s="18"/>
      <c r="BD11" s="18"/>
      <c r="BE11" s="20"/>
      <c r="BF11" s="51" t="str">
        <f ca="1">IF(E11= 1, "Complete: no errors",IF(COUNTIF(INDIRECT("'"&amp;B11:B13&amp;"'!H11:H12"),"*"&amp;"response"&amp;"*"),"Errors present","No errors"))</f>
        <v>Complete: no errors</v>
      </c>
    </row>
    <row r="12" spans="2:58" x14ac:dyDescent="0.35">
      <c r="B12" s="49"/>
      <c r="C12" s="50"/>
      <c r="D12" s="50"/>
      <c r="E12" s="50"/>
      <c r="F12" s="16"/>
      <c r="G12" s="23" t="b">
        <f ca="1">E11 &gt;= 0.02</f>
        <v>1</v>
      </c>
      <c r="H12" s="24" t="b">
        <f ca="1">E11 &gt;= 0.04</f>
        <v>1</v>
      </c>
      <c r="I12" s="24" t="b">
        <f ca="1">E11 &gt;= 0.06</f>
        <v>1</v>
      </c>
      <c r="J12" s="24" t="b">
        <f ca="1">E11 &gt;= 0.08</f>
        <v>1</v>
      </c>
      <c r="K12" s="24" t="b">
        <f ca="1">E11 &gt;= 0.1</f>
        <v>1</v>
      </c>
      <c r="L12" s="24" t="b">
        <f ca="1">E11 &gt;= 0.12</f>
        <v>1</v>
      </c>
      <c r="M12" s="24" t="b">
        <f ca="1">E11 &gt;= 0.14</f>
        <v>1</v>
      </c>
      <c r="N12" s="24" t="b">
        <f ca="1">E11 &gt;= 0.16</f>
        <v>1</v>
      </c>
      <c r="O12" s="24" t="b">
        <f ca="1">E11 &gt;= 0.18</f>
        <v>1</v>
      </c>
      <c r="P12" s="24" t="b">
        <f ca="1">E11 &gt;= 0.2</f>
        <v>1</v>
      </c>
      <c r="Q12" s="24" t="b">
        <f ca="1">E11 &gt;= 0.22</f>
        <v>1</v>
      </c>
      <c r="R12" s="24" t="b">
        <f ca="1">E11 &gt;= 0.24</f>
        <v>1</v>
      </c>
      <c r="S12" s="24" t="b">
        <f ca="1">E11 &gt;= 0.26</f>
        <v>1</v>
      </c>
      <c r="T12" s="24" t="b">
        <f ca="1">E11 &gt;= 0.28</f>
        <v>1</v>
      </c>
      <c r="U12" s="24" t="b">
        <f ca="1">E11 &gt;= 0.3</f>
        <v>1</v>
      </c>
      <c r="V12" s="24" t="b">
        <f ca="1">E11 &gt;= 0.32</f>
        <v>1</v>
      </c>
      <c r="W12" s="24" t="b">
        <f ca="1">E11 &gt;= 0.34</f>
        <v>1</v>
      </c>
      <c r="X12" s="24" t="b">
        <f ca="1">E11 &gt;= 0.36</f>
        <v>1</v>
      </c>
      <c r="Y12" s="24" t="b">
        <f ca="1">E11 &gt;= 0.38</f>
        <v>1</v>
      </c>
      <c r="Z12" s="24" t="b">
        <f ca="1">E11 &gt;= 0.4</f>
        <v>1</v>
      </c>
      <c r="AA12" s="24" t="b">
        <f ca="1">E11 &gt;= 0.42</f>
        <v>1</v>
      </c>
      <c r="AB12" s="24" t="b">
        <f ca="1">E11 &gt;= 0.44</f>
        <v>1</v>
      </c>
      <c r="AC12" s="24" t="b">
        <f ca="1">E11 &gt;= 0.46</f>
        <v>1</v>
      </c>
      <c r="AD12" s="24" t="b">
        <f ca="1">E11 &gt;= 0.48</f>
        <v>1</v>
      </c>
      <c r="AE12" s="24" t="b">
        <f ca="1">E11 &gt;= 0.5</f>
        <v>1</v>
      </c>
      <c r="AF12" s="24" t="b">
        <f ca="1">E11 &gt;= 0.52</f>
        <v>1</v>
      </c>
      <c r="AG12" s="24" t="b">
        <f ca="1">E11 &gt;= 0.54</f>
        <v>1</v>
      </c>
      <c r="AH12" s="24" t="b">
        <f ca="1">E11 &gt;= 0.56</f>
        <v>1</v>
      </c>
      <c r="AI12" s="24" t="b">
        <f ca="1">E11 &gt;= 0.58</f>
        <v>1</v>
      </c>
      <c r="AJ12" s="24" t="b">
        <f ca="1">E11 &gt;= 0.6</f>
        <v>1</v>
      </c>
      <c r="AK12" s="24" t="b">
        <f ca="1">E11 &gt;= 0.62</f>
        <v>1</v>
      </c>
      <c r="AL12" s="24" t="b">
        <f ca="1">E11 &gt;= 0.64</f>
        <v>1</v>
      </c>
      <c r="AM12" s="24" t="b">
        <f ca="1">E11 &gt;= 0.66</f>
        <v>1</v>
      </c>
      <c r="AN12" s="24" t="b">
        <f ca="1">E11 &gt;= 0.68</f>
        <v>1</v>
      </c>
      <c r="AO12" s="24" t="b">
        <f ca="1">E11 &gt;= 0.7</f>
        <v>1</v>
      </c>
      <c r="AP12" s="24" t="b">
        <f ca="1">E11 &gt;= 0.72</f>
        <v>1</v>
      </c>
      <c r="AQ12" s="24" t="b">
        <f ca="1">E11 &gt;= 0.74</f>
        <v>1</v>
      </c>
      <c r="AR12" s="24" t="b">
        <f ca="1">E11 &gt;= 0.76</f>
        <v>1</v>
      </c>
      <c r="AS12" s="24" t="b">
        <f ca="1">E11 &gt;= 0.78</f>
        <v>1</v>
      </c>
      <c r="AT12" s="24" t="b">
        <f ca="1">E11 &gt;= 0.8</f>
        <v>1</v>
      </c>
      <c r="AU12" s="24" t="b">
        <f ca="1">E11 &gt;= 0.82</f>
        <v>1</v>
      </c>
      <c r="AV12" s="24" t="b">
        <f ca="1">E11 &gt;= 0.84</f>
        <v>1</v>
      </c>
      <c r="AW12" s="24" t="b">
        <f ca="1">E11 &gt;= 0.86</f>
        <v>1</v>
      </c>
      <c r="AX12" s="24" t="b">
        <f ca="1">E11 &gt;= 0.88</f>
        <v>1</v>
      </c>
      <c r="AY12" s="24" t="b">
        <f ca="1">E11 &gt;= 0.9</f>
        <v>1</v>
      </c>
      <c r="AZ12" s="24" t="b">
        <f ca="1">E11 &gt;= 0.92</f>
        <v>1</v>
      </c>
      <c r="BA12" s="24" t="b">
        <f ca="1">E11 &gt;= 0.94</f>
        <v>1</v>
      </c>
      <c r="BB12" s="24" t="b">
        <f ca="1">E11 &gt;= 0.96</f>
        <v>1</v>
      </c>
      <c r="BC12" s="24" t="b">
        <f ca="1">E11 &gt;= 0.98</f>
        <v>1</v>
      </c>
      <c r="BD12" s="25" t="b">
        <f ca="1">E11 &gt;= 1</f>
        <v>1</v>
      </c>
      <c r="BE12" s="21"/>
      <c r="BF12" s="51"/>
    </row>
    <row r="13" spans="2:58" x14ac:dyDescent="0.35">
      <c r="B13" s="49"/>
      <c r="C13" s="50"/>
      <c r="D13" s="50"/>
      <c r="E13" s="50"/>
      <c r="F13" s="17"/>
      <c r="G13" s="19"/>
      <c r="H13" s="19"/>
      <c r="I13" s="19"/>
      <c r="J13" s="19"/>
      <c r="K13" s="19"/>
      <c r="L13" s="19"/>
      <c r="M13" s="19"/>
      <c r="N13" s="19"/>
      <c r="O13" s="19"/>
      <c r="P13" s="19"/>
      <c r="Q13" s="19"/>
      <c r="R13" s="19"/>
      <c r="S13" s="19"/>
      <c r="T13" s="19"/>
      <c r="U13" s="19"/>
      <c r="V13" s="19"/>
      <c r="W13" s="19"/>
      <c r="X13" s="19"/>
      <c r="Y13" s="19"/>
      <c r="Z13" s="19"/>
      <c r="AA13" s="19"/>
      <c r="AB13" s="19"/>
      <c r="AC13" s="19"/>
      <c r="AD13" s="19"/>
      <c r="AE13" s="19"/>
      <c r="AF13" s="19"/>
      <c r="AG13" s="19"/>
      <c r="AH13" s="19"/>
      <c r="AI13" s="19"/>
      <c r="AJ13" s="19"/>
      <c r="AK13" s="19"/>
      <c r="AL13" s="19"/>
      <c r="AM13" s="19"/>
      <c r="AN13" s="19"/>
      <c r="AO13" s="19"/>
      <c r="AP13" s="19"/>
      <c r="AQ13" s="19"/>
      <c r="AR13" s="19"/>
      <c r="AS13" s="19"/>
      <c r="AT13" s="19"/>
      <c r="AU13" s="19"/>
      <c r="AV13" s="19"/>
      <c r="AW13" s="19"/>
      <c r="AX13" s="19"/>
      <c r="AY13" s="19"/>
      <c r="AZ13" s="19"/>
      <c r="BA13" s="19"/>
      <c r="BB13" s="19"/>
      <c r="BC13" s="19"/>
      <c r="BD13" s="19"/>
      <c r="BE13" s="22"/>
      <c r="BF13" s="51"/>
    </row>
    <row r="14" spans="2:58" ht="18" x14ac:dyDescent="0.35">
      <c r="B14" s="43" t="s">
        <v>6</v>
      </c>
      <c r="C14" s="45">
        <f>SUM(C11:C13)</f>
        <v>19</v>
      </c>
      <c r="D14" s="45"/>
      <c r="E14" s="45">
        <f ca="1">IF($C$14=0,1,SUMPRODUCT(C11:C13, E11:E13) / $C$14)</f>
        <v>1</v>
      </c>
      <c r="F14" s="27"/>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28"/>
      <c r="AJ14" s="28"/>
      <c r="AK14" s="28"/>
      <c r="AL14" s="28"/>
      <c r="AM14" s="28"/>
      <c r="AN14" s="28"/>
      <c r="AO14" s="28"/>
      <c r="AP14" s="28"/>
      <c r="AQ14" s="28"/>
      <c r="AR14" s="28"/>
      <c r="AS14" s="28"/>
      <c r="AT14" s="28"/>
      <c r="AU14" s="28"/>
      <c r="AV14" s="28"/>
      <c r="AW14" s="28"/>
      <c r="AX14" s="28"/>
      <c r="AY14" s="28"/>
      <c r="AZ14" s="28"/>
      <c r="BA14" s="28"/>
      <c r="BB14" s="28"/>
      <c r="BC14" s="28"/>
      <c r="BD14" s="28"/>
      <c r="BE14" s="29"/>
      <c r="BF14" s="47"/>
    </row>
    <row r="15" spans="2:58" ht="18" x14ac:dyDescent="0.35">
      <c r="B15" s="44"/>
      <c r="C15" s="46"/>
      <c r="D15" s="46"/>
      <c r="E15" s="46"/>
      <c r="F15" s="30"/>
      <c r="G15" s="31" t="b">
        <f ca="1">E14 &gt;= 0.02</f>
        <v>1</v>
      </c>
      <c r="H15" s="32" t="b">
        <f ca="1">E14 &gt;= 0.04</f>
        <v>1</v>
      </c>
      <c r="I15" s="32" t="b">
        <f ca="1">E14 &gt;= 0.06</f>
        <v>1</v>
      </c>
      <c r="J15" s="32" t="b">
        <f ca="1">E14 &gt;= 0.08</f>
        <v>1</v>
      </c>
      <c r="K15" s="32" t="b">
        <f ca="1">E14 &gt;= 0.1</f>
        <v>1</v>
      </c>
      <c r="L15" s="32" t="b">
        <f ca="1">E14 &gt;= 0.12</f>
        <v>1</v>
      </c>
      <c r="M15" s="32" t="b">
        <f ca="1">E14 &gt;= 0.14</f>
        <v>1</v>
      </c>
      <c r="N15" s="32" t="b">
        <f ca="1">E14 &gt;= 0.16</f>
        <v>1</v>
      </c>
      <c r="O15" s="32" t="b">
        <f ca="1">E14 &gt;= 0.18</f>
        <v>1</v>
      </c>
      <c r="P15" s="32" t="b">
        <f ca="1">E14 &gt;= 0.2</f>
        <v>1</v>
      </c>
      <c r="Q15" s="32" t="b">
        <f ca="1">E14 &gt;= 0.22</f>
        <v>1</v>
      </c>
      <c r="R15" s="32" t="b">
        <f ca="1">E14 &gt;= 0.24</f>
        <v>1</v>
      </c>
      <c r="S15" s="32" t="b">
        <f ca="1">E14 &gt;= 0.26</f>
        <v>1</v>
      </c>
      <c r="T15" s="32" t="b">
        <f ca="1">E14 &gt;= 0.28</f>
        <v>1</v>
      </c>
      <c r="U15" s="32" t="b">
        <f ca="1">E14 &gt;= 0.3</f>
        <v>1</v>
      </c>
      <c r="V15" s="32" t="b">
        <f ca="1">E14 &gt;= 0.32</f>
        <v>1</v>
      </c>
      <c r="W15" s="32" t="b">
        <f ca="1">E14 &gt;= 0.34</f>
        <v>1</v>
      </c>
      <c r="X15" s="32" t="b">
        <f ca="1">E14 &gt;= 0.36</f>
        <v>1</v>
      </c>
      <c r="Y15" s="32" t="b">
        <f ca="1">E14 &gt;= 0.38</f>
        <v>1</v>
      </c>
      <c r="Z15" s="32" t="b">
        <f ca="1">E14 &gt;= 0.4</f>
        <v>1</v>
      </c>
      <c r="AA15" s="32" t="b">
        <f ca="1">E14 &gt;= 0.42</f>
        <v>1</v>
      </c>
      <c r="AB15" s="32" t="b">
        <f ca="1">E14 &gt;= 0.44</f>
        <v>1</v>
      </c>
      <c r="AC15" s="32" t="b">
        <f ca="1">E14 &gt;= 0.46</f>
        <v>1</v>
      </c>
      <c r="AD15" s="32" t="b">
        <f ca="1">E14 &gt;= 0.48</f>
        <v>1</v>
      </c>
      <c r="AE15" s="32" t="b">
        <f ca="1">E14 &gt;= 0.5</f>
        <v>1</v>
      </c>
      <c r="AF15" s="32" t="b">
        <f ca="1">E14 &gt;= 0.52</f>
        <v>1</v>
      </c>
      <c r="AG15" s="32" t="b">
        <f ca="1">E14 &gt;= 0.54</f>
        <v>1</v>
      </c>
      <c r="AH15" s="32" t="b">
        <f ca="1">E14 &gt;= 0.56</f>
        <v>1</v>
      </c>
      <c r="AI15" s="32" t="b">
        <f ca="1">E14 &gt;= 0.58</f>
        <v>1</v>
      </c>
      <c r="AJ15" s="32" t="b">
        <f ca="1">E14 &gt;= 0.6</f>
        <v>1</v>
      </c>
      <c r="AK15" s="32" t="b">
        <f ca="1">E14 &gt;= 0.62</f>
        <v>1</v>
      </c>
      <c r="AL15" s="32" t="b">
        <f ca="1">E14 &gt;= 0.64</f>
        <v>1</v>
      </c>
      <c r="AM15" s="32" t="b">
        <f ca="1">E14 &gt;= 0.66</f>
        <v>1</v>
      </c>
      <c r="AN15" s="32" t="b">
        <f ca="1">E14 &gt;= 0.68</f>
        <v>1</v>
      </c>
      <c r="AO15" s="32" t="b">
        <f ca="1">E14 &gt;= 0.7</f>
        <v>1</v>
      </c>
      <c r="AP15" s="32" t="b">
        <f ca="1">E14 &gt;= 0.72</f>
        <v>1</v>
      </c>
      <c r="AQ15" s="32" t="b">
        <f ca="1">E14 &gt;= 0.74</f>
        <v>1</v>
      </c>
      <c r="AR15" s="32" t="b">
        <f ca="1">E14 &gt;= 0.76</f>
        <v>1</v>
      </c>
      <c r="AS15" s="32" t="b">
        <f ca="1">E14 &gt;= 0.78</f>
        <v>1</v>
      </c>
      <c r="AT15" s="32" t="b">
        <f ca="1">E14 &gt;= 0.8</f>
        <v>1</v>
      </c>
      <c r="AU15" s="32" t="b">
        <f ca="1">E14 &gt;= 0.82</f>
        <v>1</v>
      </c>
      <c r="AV15" s="32" t="b">
        <f ca="1">E14 &gt;= 0.84</f>
        <v>1</v>
      </c>
      <c r="AW15" s="32" t="b">
        <f ca="1">E14 &gt;= 0.86</f>
        <v>1</v>
      </c>
      <c r="AX15" s="32" t="b">
        <f ca="1">E14 &gt;= 0.88</f>
        <v>1</v>
      </c>
      <c r="AY15" s="32" t="b">
        <f ca="1">E14 &gt;= 0.9</f>
        <v>1</v>
      </c>
      <c r="AZ15" s="32" t="b">
        <f ca="1">E14 &gt;= 0.92</f>
        <v>1</v>
      </c>
      <c r="BA15" s="32" t="b">
        <f ca="1">E14 &gt;= 0.94</f>
        <v>1</v>
      </c>
      <c r="BB15" s="32" t="b">
        <f ca="1">E14 &gt;= 0.96</f>
        <v>1</v>
      </c>
      <c r="BC15" s="32" t="b">
        <f ca="1">E14 &gt;= 0.98</f>
        <v>1</v>
      </c>
      <c r="BD15" s="33" t="b">
        <f ca="1">E14 &gt;= 1</f>
        <v>1</v>
      </c>
      <c r="BE15" s="34"/>
      <c r="BF15" s="48"/>
    </row>
    <row r="16" spans="2:58" ht="18" x14ac:dyDescent="0.35">
      <c r="B16" s="44"/>
      <c r="C16" s="46"/>
      <c r="D16" s="46"/>
      <c r="E16" s="46"/>
      <c r="F16" s="35"/>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7"/>
      <c r="BF16" s="48"/>
    </row>
  </sheetData>
  <sheetProtection password="E36C" sheet="1" objects="1" scenarios="1" insertHyperlinks="0"/>
  <mergeCells count="11">
    <mergeCell ref="BF14:BF16"/>
    <mergeCell ref="B11:B13"/>
    <mergeCell ref="C11:C13"/>
    <mergeCell ref="D11:D13"/>
    <mergeCell ref="E11:E13"/>
    <mergeCell ref="BF11:BF13"/>
    <mergeCell ref="F10:BE10"/>
    <mergeCell ref="B14:B16"/>
    <mergeCell ref="C14:C16"/>
    <mergeCell ref="D14:D16"/>
    <mergeCell ref="E14:E16"/>
  </mergeCells>
  <conditionalFormatting sqref="G12:BD12">
    <cfRule type="expression" dxfId="19" priority="1">
      <formula>G$12</formula>
    </cfRule>
    <cfRule type="expression" dxfId="18" priority="2">
      <formula>NOT(G$12)</formula>
    </cfRule>
  </conditionalFormatting>
  <conditionalFormatting sqref="G15:BD15">
    <cfRule type="expression" dxfId="17" priority="3">
      <formula>G$15</formula>
    </cfRule>
    <cfRule type="expression" dxfId="16" priority="4">
      <formula>NOT(G$15)</formula>
    </cfRule>
  </conditionalFormatting>
  <conditionalFormatting sqref="E11:E16">
    <cfRule type="expression" dxfId="15" priority="5">
      <formula>TRUE</formula>
    </cfRule>
  </conditionalFormatting>
  <conditionalFormatting sqref="BF11:BF13">
    <cfRule type="expression" dxfId="14" priority="6">
      <formula>$BF11 ="Complete: no errors"</formula>
    </cfRule>
    <cfRule type="expression" dxfId="13" priority="7">
      <formula>$BF11 = "Errors present"</formula>
    </cfRule>
  </conditionalFormatting>
  <conditionalFormatting sqref="B11:BF13">
    <cfRule type="expression" dxfId="12" priority="8">
      <formula>OR(IF(ISNUMBER($B11),MOD($B11,2)=1,FALSE),IF(ISNUMBER($B10),MOD($B10,2)=1,FALSE),IF(ISNUMBER($B9),MOD($B9,2)=1,FALSE))</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I33"/>
  <sheetViews>
    <sheetView showRowColHeaders="0" tabSelected="1" zoomScale="79" workbookViewId="0">
      <pane ySplit="10" topLeftCell="A74" activePane="bottomLeft" state="frozen"/>
      <selection pane="bottomLeft" activeCell="G13" sqref="G13"/>
    </sheetView>
  </sheetViews>
  <sheetFormatPr defaultRowHeight="15.5" x14ac:dyDescent="0.35"/>
  <cols>
    <col min="2" max="2" width="9.07421875" hidden="1"/>
    <col min="3" max="3" width="10" customWidth="1"/>
    <col min="4" max="4" width="66" customWidth="1"/>
    <col min="5" max="5" width="9.07421875" hidden="1"/>
    <col min="6" max="6" width="25" customWidth="1"/>
    <col min="7" max="7" width="66" customWidth="1"/>
    <col min="8" max="8" width="40" customWidth="1"/>
    <col min="9" max="9" width="9.07421875" hidden="1"/>
  </cols>
  <sheetData>
    <row r="2" spans="2:9" ht="28" x14ac:dyDescent="0.35">
      <c r="C2" s="2" t="s">
        <v>14</v>
      </c>
    </row>
    <row r="3" spans="2:9" hidden="1" x14ac:dyDescent="0.35"/>
    <row r="4" spans="2:9" hidden="1" x14ac:dyDescent="0.35"/>
    <row r="5" spans="2:9" hidden="1" x14ac:dyDescent="0.35"/>
    <row r="6" spans="2:9" hidden="1" x14ac:dyDescent="0.35"/>
    <row r="7" spans="2:9" hidden="1" x14ac:dyDescent="0.35"/>
    <row r="8" spans="2:9" hidden="1" x14ac:dyDescent="0.35"/>
    <row r="10" spans="2:9" ht="32" customHeight="1" x14ac:dyDescent="0.35">
      <c r="C10" s="5" t="s">
        <v>15</v>
      </c>
      <c r="D10" s="5" t="s">
        <v>16</v>
      </c>
      <c r="E10" s="5" t="s">
        <v>10</v>
      </c>
      <c r="F10" s="6" t="s">
        <v>17</v>
      </c>
      <c r="G10" s="6" t="s">
        <v>18</v>
      </c>
      <c r="H10" s="6" t="s">
        <v>19</v>
      </c>
      <c r="I10" t="s">
        <v>10</v>
      </c>
    </row>
    <row r="11" spans="2:9" ht="20" customHeight="1" x14ac:dyDescent="0.35">
      <c r="B11" s="1"/>
      <c r="C11" s="52" t="s">
        <v>20</v>
      </c>
      <c r="D11" s="53"/>
      <c r="E11" s="54"/>
      <c r="F11" s="9"/>
      <c r="G11" s="10"/>
      <c r="H11" s="14" t="str">
        <f>IF(AND(ISBLANK(F11),ISBLANK(G11)),"?", "Anything entered in this row will be ignored")</f>
        <v>?</v>
      </c>
      <c r="I11" s="1">
        <v>-1</v>
      </c>
    </row>
    <row r="12" spans="2:9" ht="201.5" x14ac:dyDescent="0.35">
      <c r="B12" s="1">
        <v>1257726</v>
      </c>
      <c r="C12" s="3" t="s">
        <v>21</v>
      </c>
      <c r="D12" s="13" t="s">
        <v>22</v>
      </c>
      <c r="E12" s="4"/>
      <c r="F12" s="7" t="s">
        <v>63</v>
      </c>
      <c r="G12" s="8" t="s">
        <v>93</v>
      </c>
      <c r="H12" s="14" t="str">
        <f ca="1">IF(AND(ISNA(MATCH(OFFSET($H12,0,-2)&amp;"",responseOption0,0)),NOT(TRIM(OFFSET($H12,0,-2)) = "")),"Response must be one of "&amp;INDEX(responseValidationRulesGroup0,4,1),IF(AND(IF(ISNA(INDEX(responseValidationRulesGroup0,MATCH(OFFSET($H12,0,-2)&amp;"",responseOption0,0),2)),FALSE,INDEX(responseValidationRulesGroup0,MATCH(OFFSET($H12,0,-2)&amp;"",responseOption0,0),2)),TRIM(OFFSET($H12,0,-1)) = ""),"A comment is required for this response",IF(IF(ISNA(INDEX(responseValidationRulesGroup0,MATCH(OFFSET($H12,0,-2)&amp;"",responseOption0,0),3)),FALSE,INDEX(responseValidationRulesGroup0,MATCH(OFFSET($H12,0,-2)&amp;"",responseOption0,0),3)),IF(TRIM(OFFSET($H12,0,-1)) = "","Complete","The comment must be left blank for this response"),IF(TRIM(OFFSET($H12,0,-2))="","Incomplete", "Complete"))))</f>
        <v>Complete</v>
      </c>
      <c r="I12" s="1">
        <v>1</v>
      </c>
    </row>
    <row r="13" spans="2:9" ht="108.5" x14ac:dyDescent="0.35">
      <c r="B13" s="1">
        <v>1257730</v>
      </c>
      <c r="C13" s="3" t="s">
        <v>23</v>
      </c>
      <c r="D13" s="13" t="s">
        <v>24</v>
      </c>
      <c r="E13" s="4"/>
      <c r="F13" s="7" t="s">
        <v>78</v>
      </c>
      <c r="G13" s="8"/>
      <c r="H13" s="14" t="str">
        <f ca="1">IF(AND(
            OR(OFFSET($H13,0,-2) = "-",OFFSET($H13,0,-2) = ""),OFFSET($H13,0,-1) = ""),"Incomplete","Complete")</f>
        <v>Complete</v>
      </c>
      <c r="I13" s="1">
        <v>0</v>
      </c>
    </row>
    <row r="14" spans="2:9" ht="124" x14ac:dyDescent="0.35">
      <c r="B14" s="1">
        <v>1257731</v>
      </c>
      <c r="C14" s="3" t="s">
        <v>25</v>
      </c>
      <c r="D14" s="13" t="s">
        <v>26</v>
      </c>
      <c r="E14" s="4"/>
      <c r="F14" s="7" t="s">
        <v>79</v>
      </c>
      <c r="G14" s="8"/>
      <c r="H14" s="14" t="str">
        <f ca="1">IF(AND(
            OR(OFFSET($H14,0,-2) = "-",OFFSET($H14,0,-2) = ""),OFFSET($H14,0,-1) = ""),"Incomplete","Complete")</f>
        <v>Complete</v>
      </c>
      <c r="I14" s="1">
        <v>1</v>
      </c>
    </row>
    <row r="15" spans="2:9" ht="124" x14ac:dyDescent="0.35">
      <c r="B15" s="1">
        <v>1254674</v>
      </c>
      <c r="C15" s="3" t="s">
        <v>27</v>
      </c>
      <c r="D15" s="13" t="s">
        <v>28</v>
      </c>
      <c r="E15" s="4"/>
      <c r="F15" s="7" t="s">
        <v>87</v>
      </c>
      <c r="G15" s="8"/>
      <c r="H15" s="14" t="str">
        <f ca="1">IF(AND(
            OR(OFFSET($H15,0,-2) = "-",OFFSET($H15,0,-2) = ""),OFFSET($H15,0,-1) = ""),"Incomplete","Complete")</f>
        <v>Complete</v>
      </c>
      <c r="I15" s="1">
        <v>0</v>
      </c>
    </row>
    <row r="16" spans="2:9" ht="20" customHeight="1" x14ac:dyDescent="0.35">
      <c r="B16" s="1"/>
      <c r="C16" s="52" t="s">
        <v>29</v>
      </c>
      <c r="D16" s="53"/>
      <c r="E16" s="54"/>
      <c r="F16" s="9"/>
      <c r="G16" s="10"/>
      <c r="H16" s="14" t="str">
        <f>IF(AND(ISBLANK(F16),ISBLANK(G16)),"?", "Anything entered in this row will be ignored")</f>
        <v>?</v>
      </c>
      <c r="I16" s="1">
        <v>-1</v>
      </c>
    </row>
    <row r="17" spans="2:9" ht="409.5" x14ac:dyDescent="0.35">
      <c r="B17" s="1">
        <v>1257715</v>
      </c>
      <c r="C17" s="3" t="s">
        <v>30</v>
      </c>
      <c r="D17" s="13" t="s">
        <v>31</v>
      </c>
      <c r="E17" s="4"/>
      <c r="F17" s="7" t="s">
        <v>88</v>
      </c>
      <c r="G17" s="8"/>
      <c r="H17" s="14" t="str">
        <f ca="1">IF(AND(
            OR(OFFSET($H17,0,-2) = "-",OFFSET($H17,0,-2) = ""),OFFSET($H17,0,-1) = ""),"Incomplete","Complete")</f>
        <v>Complete</v>
      </c>
      <c r="I17" s="1">
        <v>1</v>
      </c>
    </row>
    <row r="18" spans="2:9" ht="20" customHeight="1" x14ac:dyDescent="0.35">
      <c r="B18" s="1"/>
      <c r="C18" s="52" t="s">
        <v>32</v>
      </c>
      <c r="D18" s="53"/>
      <c r="E18" s="54"/>
      <c r="F18" s="9"/>
      <c r="G18" s="10"/>
      <c r="H18" s="14" t="str">
        <f>IF(AND(ISBLANK(F18),ISBLANK(G18)),"?", "Anything entered in this row will be ignored")</f>
        <v>?</v>
      </c>
      <c r="I18" s="1">
        <v>-1</v>
      </c>
    </row>
    <row r="19" spans="2:9" ht="46.5" x14ac:dyDescent="0.35">
      <c r="B19" s="1">
        <v>1257733</v>
      </c>
      <c r="C19" s="3" t="s">
        <v>33</v>
      </c>
      <c r="D19" s="13" t="s">
        <v>34</v>
      </c>
      <c r="E19" s="4"/>
      <c r="F19" s="7" t="s">
        <v>65</v>
      </c>
      <c r="G19" s="8"/>
      <c r="H19" s="14" t="str">
        <f ca="1">IF(AND(ISNA(MATCH(OFFSET($H19,0,-2)&amp;"",responseOption1,0)),NOT(TRIM(OFFSET($H19,0,-2)) = "")),"Response must be one of "&amp;INDEX(responseValidationRulesGroup1,3,1),IF(AND(IF(ISNA(INDEX(responseValidationRulesGroup1,MATCH(OFFSET($H19,0,-2)&amp;"",responseOption1,0),2)),FALSE,INDEX(responseValidationRulesGroup1,MATCH(OFFSET($H19,0,-2)&amp;"",responseOption1,0),2)),TRIM(OFFSET($H19,0,-1)) = ""),"A comment is required for this response",IF(IF(ISNA(INDEX(responseValidationRulesGroup1,MATCH(OFFSET($H19,0,-2)&amp;"",responseOption1,0),3)),FALSE,INDEX(responseValidationRulesGroup1,MATCH(OFFSET($H19,0,-2)&amp;"",responseOption1,0),3)),IF(TRIM(OFFSET($H19,0,-1)) = "","Complete","The comment must be left blank for this response"),IF(TRIM(OFFSET($H19,0,-2))="","Incomplete", "Complete"))))</f>
        <v>Complete</v>
      </c>
      <c r="I19" s="1">
        <v>1</v>
      </c>
    </row>
    <row r="20" spans="2:9" ht="46.5" x14ac:dyDescent="0.35">
      <c r="B20" s="1">
        <v>1257734</v>
      </c>
      <c r="C20" s="3" t="s">
        <v>35</v>
      </c>
      <c r="D20" s="13" t="s">
        <v>36</v>
      </c>
      <c r="E20" s="4"/>
      <c r="F20" s="7" t="s">
        <v>66</v>
      </c>
      <c r="G20" s="8"/>
      <c r="H20" s="14" t="str">
        <f ca="1">IF(AND(ISNA(MATCH(OFFSET($H20,0,-2)&amp;"",responseOption1,0)),NOT(TRIM(OFFSET($H20,0,-2)) = "")),"Response must be one of "&amp;INDEX(responseValidationRulesGroup1,3,1),IF(AND(IF(ISNA(INDEX(responseValidationRulesGroup1,MATCH(OFFSET($H20,0,-2)&amp;"",responseOption1,0),2)),FALSE,INDEX(responseValidationRulesGroup1,MATCH(OFFSET($H20,0,-2)&amp;"",responseOption1,0),2)),TRIM(OFFSET($H20,0,-1)) = ""),"A comment is required for this response",IF(IF(ISNA(INDEX(responseValidationRulesGroup1,MATCH(OFFSET($H20,0,-2)&amp;"",responseOption1,0),3)),FALSE,INDEX(responseValidationRulesGroup1,MATCH(OFFSET($H20,0,-2)&amp;"",responseOption1,0),3)),IF(TRIM(OFFSET($H20,0,-1)) = "","Complete","The comment must be left blank for this response"),IF(TRIM(OFFSET($H20,0,-2))="","Incomplete", "Complete"))))</f>
        <v>Complete</v>
      </c>
      <c r="I20" s="1">
        <v>0</v>
      </c>
    </row>
    <row r="21" spans="2:9" ht="93" x14ac:dyDescent="0.35">
      <c r="B21" s="1">
        <v>1257738</v>
      </c>
      <c r="C21" s="3" t="s">
        <v>37</v>
      </c>
      <c r="D21" s="13" t="s">
        <v>38</v>
      </c>
      <c r="E21" s="4"/>
      <c r="F21" s="7" t="s">
        <v>68</v>
      </c>
      <c r="G21" s="8" t="s">
        <v>89</v>
      </c>
      <c r="H21" s="14" t="str">
        <f ca="1">IF(AND(ISNA(MATCH(OFFSET($H21,0,-2)&amp;"",responseOption2,0)),NOT(TRIM(OFFSET($H21,0,-2)) = "")),"Response must be one of "&amp;INDEX(responseValidationRulesGroup2,3,1),IF(AND(IF(ISNA(INDEX(responseValidationRulesGroup2,MATCH(OFFSET($H21,0,-2)&amp;"",responseOption2,0),2)),FALSE,INDEX(responseValidationRulesGroup2,MATCH(OFFSET($H21,0,-2)&amp;"",responseOption2,0),2)),TRIM(OFFSET($H21,0,-1)) = ""),"A comment is required for this response",IF(IF(ISNA(INDEX(responseValidationRulesGroup2,MATCH(OFFSET($H21,0,-2)&amp;"",responseOption2,0),3)),FALSE,INDEX(responseValidationRulesGroup2,MATCH(OFFSET($H21,0,-2)&amp;"",responseOption2,0),3)),IF(TRIM(OFFSET($H21,0,-1)) = "","Complete","The comment must be left blank for this response"),IF(TRIM(OFFSET($H21,0,-2))="","Incomplete", "Complete"))))</f>
        <v>Complete</v>
      </c>
      <c r="I21" s="1">
        <v>1</v>
      </c>
    </row>
    <row r="22" spans="2:9" ht="46.5" x14ac:dyDescent="0.35">
      <c r="B22" s="1">
        <v>1257740</v>
      </c>
      <c r="C22" s="3" t="s">
        <v>39</v>
      </c>
      <c r="D22" s="13" t="s">
        <v>40</v>
      </c>
      <c r="E22" s="4"/>
      <c r="F22" s="7" t="s">
        <v>66</v>
      </c>
      <c r="G22" s="8"/>
      <c r="H22" s="14" t="str">
        <f ca="1">IF(AND(ISNA(MATCH(OFFSET($H22,0,-2)&amp;"",responseOption3,0)),NOT(TRIM(OFFSET($H22,0,-2)) = "")),"Response must be one of "&amp;INDEX(responseValidationRulesGroup3,3,1),IF(AND(IF(ISNA(INDEX(responseValidationRulesGroup3,MATCH(OFFSET($H22,0,-2)&amp;"",responseOption3,0),2)),FALSE,INDEX(responseValidationRulesGroup3,MATCH(OFFSET($H22,0,-2)&amp;"",responseOption3,0),2)),TRIM(OFFSET($H22,0,-1)) = ""),"A comment is required for this response",IF(IF(ISNA(INDEX(responseValidationRulesGroup3,MATCH(OFFSET($H22,0,-2)&amp;"",responseOption3,0),3)),FALSE,INDEX(responseValidationRulesGroup3,MATCH(OFFSET($H22,0,-2)&amp;"",responseOption3,0),3)),IF(TRIM(OFFSET($H22,0,-1)) = "","Complete","The comment must be left blank for this response"),IF(TRIM(OFFSET($H22,0,-2))="","Incomplete", "Complete"))))</f>
        <v>Complete</v>
      </c>
      <c r="I22" s="1">
        <v>0</v>
      </c>
    </row>
    <row r="23" spans="2:9" ht="62" x14ac:dyDescent="0.35">
      <c r="B23" s="1">
        <v>1258124</v>
      </c>
      <c r="C23" s="3" t="s">
        <v>41</v>
      </c>
      <c r="D23" s="13" t="s">
        <v>42</v>
      </c>
      <c r="E23" s="4"/>
      <c r="F23" s="7" t="s">
        <v>72</v>
      </c>
      <c r="G23" s="8" t="s">
        <v>84</v>
      </c>
      <c r="H23" s="14" t="str">
        <f ca="1">IF(AND(ISNA(MATCH(OFFSET($H23,0,-2)&amp;"",responseOption4,0)),NOT(TRIM(OFFSET($H23,0,-2)) = "")),"Response must be one of "&amp;INDEX(responseValidationRulesGroup4,3,1),IF(AND(IF(ISNA(INDEX(responseValidationRulesGroup4,MATCH(OFFSET($H23,0,-2)&amp;"",responseOption4,0),2)),FALSE,INDEX(responseValidationRulesGroup4,MATCH(OFFSET($H23,0,-2)&amp;"",responseOption4,0),2)),TRIM(OFFSET($H23,0,-1)) = ""),"A comment is required for this response",IF(IF(ISNA(INDEX(responseValidationRulesGroup4,MATCH(OFFSET($H23,0,-2)&amp;"",responseOption4,0),3)),FALSE,INDEX(responseValidationRulesGroup4,MATCH(OFFSET($H23,0,-2)&amp;"",responseOption4,0),3)),IF(TRIM(OFFSET($H23,0,-1)) = "","Complete","The comment must be left blank for this response"),IF(TRIM(OFFSET($H23,0,-2))="","Incomplete", "Complete"))))</f>
        <v>Complete</v>
      </c>
      <c r="I23" s="1">
        <v>1</v>
      </c>
    </row>
    <row r="24" spans="2:9" ht="201.5" x14ac:dyDescent="0.35">
      <c r="B24" s="1">
        <v>1258128</v>
      </c>
      <c r="C24" s="3" t="s">
        <v>43</v>
      </c>
      <c r="D24" s="13" t="s">
        <v>44</v>
      </c>
      <c r="E24" s="4"/>
      <c r="F24" s="7" t="s">
        <v>90</v>
      </c>
      <c r="G24" s="8"/>
      <c r="H24" s="14" t="str">
        <f ca="1">IF(AND(
            OR(OFFSET($H24,0,-2) = "-",OFFSET($H24,0,-2) = ""),OFFSET($H24,0,-1) = ""),"Incomplete","Complete")</f>
        <v>Complete</v>
      </c>
      <c r="I24" s="1">
        <v>0</v>
      </c>
    </row>
    <row r="25" spans="2:9" ht="139.5" x14ac:dyDescent="0.35">
      <c r="B25" s="1">
        <v>1258129</v>
      </c>
      <c r="C25" s="3" t="s">
        <v>45</v>
      </c>
      <c r="D25" s="13" t="s">
        <v>46</v>
      </c>
      <c r="E25" s="4"/>
      <c r="F25" s="7" t="s">
        <v>80</v>
      </c>
      <c r="G25" s="8"/>
      <c r="H25" s="14" t="str">
        <f ca="1">IF(AND(
            OR(OFFSET($H25,0,-2) = "-",OFFSET($H25,0,-2) = ""),OFFSET($H25,0,-1) = ""),"Incomplete","Complete")</f>
        <v>Complete</v>
      </c>
      <c r="I25" s="1">
        <v>1</v>
      </c>
    </row>
    <row r="26" spans="2:9" ht="62" x14ac:dyDescent="0.35">
      <c r="B26" s="1">
        <v>1258132</v>
      </c>
      <c r="C26" s="3" t="s">
        <v>47</v>
      </c>
      <c r="D26" s="13" t="s">
        <v>48</v>
      </c>
      <c r="E26" s="4"/>
      <c r="F26" s="7" t="s">
        <v>66</v>
      </c>
      <c r="G26" s="8"/>
      <c r="H26" s="14" t="str">
        <f ca="1">IF(AND(ISNA(MATCH(OFFSET($H26,0,-2)&amp;"",responseOption5,0)),NOT(TRIM(OFFSET($H26,0,-2)) = "")),"Response must be one of "&amp;INDEX(responseValidationRulesGroup5,3,1),IF(AND(IF(ISNA(INDEX(responseValidationRulesGroup5,MATCH(OFFSET($H26,0,-2)&amp;"",responseOption5,0),2)),FALSE,INDEX(responseValidationRulesGroup5,MATCH(OFFSET($H26,0,-2)&amp;"",responseOption5,0),2)),TRIM(OFFSET($H26,0,-1)) = ""),"A comment is required for this response",IF(IF(ISNA(INDEX(responseValidationRulesGroup5,MATCH(OFFSET($H26,0,-2)&amp;"",responseOption5,0),3)),FALSE,INDEX(responseValidationRulesGroup5,MATCH(OFFSET($H26,0,-2)&amp;"",responseOption5,0),3)),IF(TRIM(OFFSET($H26,0,-1)) = "","Complete","The comment must be left blank for this response"),IF(TRIM(OFFSET($H26,0,-2))="","Incomplete", "Complete"))))</f>
        <v>Complete</v>
      </c>
      <c r="I26" s="1">
        <v>0</v>
      </c>
    </row>
    <row r="27" spans="2:9" ht="77.5" x14ac:dyDescent="0.35">
      <c r="B27" s="1">
        <v>1258137</v>
      </c>
      <c r="C27" s="3" t="s">
        <v>49</v>
      </c>
      <c r="D27" s="13" t="s">
        <v>50</v>
      </c>
      <c r="E27" s="4"/>
      <c r="F27" s="7" t="s">
        <v>85</v>
      </c>
      <c r="G27" s="8"/>
      <c r="H27" s="14" t="str">
        <f ca="1">IF(AND(
            OR(OFFSET($H27,0,-2) = "-",OFFSET($H27,0,-2) = ""),OFFSET($H27,0,-1) = ""),"Incomplete","Complete")</f>
        <v>Complete</v>
      </c>
      <c r="I27" s="1">
        <v>1</v>
      </c>
    </row>
    <row r="28" spans="2:9" ht="232.5" x14ac:dyDescent="0.35">
      <c r="B28" s="1">
        <v>1258139</v>
      </c>
      <c r="C28" s="3" t="s">
        <v>51</v>
      </c>
      <c r="D28" s="13" t="s">
        <v>52</v>
      </c>
      <c r="E28" s="4"/>
      <c r="F28" s="7" t="s">
        <v>91</v>
      </c>
      <c r="G28" s="8"/>
      <c r="H28" s="14" t="str">
        <f ca="1">IF(AND(
            OR(OFFSET($H28,0,-2) = "-",OFFSET($H28,0,-2) = ""),OFFSET($H28,0,-1) = ""),"Incomplete","Complete")</f>
        <v>Complete</v>
      </c>
      <c r="I28" s="1">
        <v>0</v>
      </c>
    </row>
    <row r="29" spans="2:9" ht="108.5" x14ac:dyDescent="0.35">
      <c r="B29" s="1">
        <v>1258141</v>
      </c>
      <c r="C29" s="3" t="s">
        <v>53</v>
      </c>
      <c r="D29" s="13" t="s">
        <v>54</v>
      </c>
      <c r="E29" s="4"/>
      <c r="F29" s="7" t="s">
        <v>83</v>
      </c>
      <c r="G29" s="8" t="s">
        <v>86</v>
      </c>
      <c r="H29" s="14" t="str">
        <f ca="1">IF(AND(
            OR(OFFSET($H29,0,-2) = "-",OFFSET($H29,0,-2) = ""),OFFSET($H29,0,-1) = ""),"Incomplete","Complete")</f>
        <v>Complete</v>
      </c>
      <c r="I29" s="1">
        <v>1</v>
      </c>
    </row>
    <row r="30" spans="2:9" ht="77.5" x14ac:dyDescent="0.35">
      <c r="B30" s="1">
        <v>1363343</v>
      </c>
      <c r="C30" s="3" t="s">
        <v>55</v>
      </c>
      <c r="D30" s="13" t="s">
        <v>56</v>
      </c>
      <c r="E30" s="4"/>
      <c r="F30" s="7" t="s">
        <v>81</v>
      </c>
      <c r="G30" s="8"/>
      <c r="H30" s="14" t="str">
        <f ca="1">IF(AND(
            OR(OFFSET($H30,0,-2) = "-",OFFSET($H30,0,-2) = ""),OFFSET($H30,0,-1) = ""),"Incomplete","Complete")</f>
        <v>Complete</v>
      </c>
      <c r="I30" s="1">
        <v>0</v>
      </c>
    </row>
    <row r="31" spans="2:9" ht="46.5" x14ac:dyDescent="0.35">
      <c r="B31" s="1">
        <v>1363448</v>
      </c>
      <c r="C31" s="3" t="s">
        <v>57</v>
      </c>
      <c r="D31" s="13" t="s">
        <v>58</v>
      </c>
      <c r="E31" s="4"/>
      <c r="F31" s="7" t="s">
        <v>76</v>
      </c>
      <c r="G31" s="8" t="s">
        <v>92</v>
      </c>
      <c r="H31" s="14" t="str">
        <f ca="1">IF(AND(ISNA(MATCH(OFFSET($H31,0,-2)&amp;"",responseOption6,0)),NOT(TRIM(OFFSET($H31,0,-2)) = "")),"Response must be one of "&amp;INDEX(responseValidationRulesGroup6,3,1),IF(AND(IF(ISNA(INDEX(responseValidationRulesGroup6,MATCH(OFFSET($H31,0,-2)&amp;"",responseOption6,0),2)),FALSE,INDEX(responseValidationRulesGroup6,MATCH(OFFSET($H31,0,-2)&amp;"",responseOption6,0),2)),TRIM(OFFSET($H31,0,-1)) = ""),"A comment is required for this response",IF(IF(ISNA(INDEX(responseValidationRulesGroup6,MATCH(OFFSET($H31,0,-2)&amp;"",responseOption6,0),3)),FALSE,INDEX(responseValidationRulesGroup6,MATCH(OFFSET($H31,0,-2)&amp;"",responseOption6,0),3)),IF(TRIM(OFFSET($H31,0,-1)) = "","Complete","The comment must be left blank for this response"),IF(TRIM(OFFSET($H31,0,-2))="","Incomplete", "Complete"))))</f>
        <v>Complete</v>
      </c>
      <c r="I31" s="1">
        <v>1</v>
      </c>
    </row>
    <row r="32" spans="2:9" ht="77.5" x14ac:dyDescent="0.35">
      <c r="B32" s="1">
        <v>1258142</v>
      </c>
      <c r="C32" s="3" t="s">
        <v>59</v>
      </c>
      <c r="D32" s="13" t="s">
        <v>60</v>
      </c>
      <c r="E32" s="4"/>
      <c r="F32" s="7" t="s">
        <v>82</v>
      </c>
      <c r="G32" s="8"/>
      <c r="H32" s="14" t="str">
        <f ca="1">IF(AND(
            OR(OFFSET($H32,0,-2) = "-",OFFSET($H32,0,-2) = ""),OFFSET($H32,0,-1) = ""),"Incomplete","Complete")</f>
        <v>Complete</v>
      </c>
      <c r="I32" s="1">
        <v>0</v>
      </c>
    </row>
    <row r="33" spans="2:8" ht="27" customHeight="1" x14ac:dyDescent="0.35">
      <c r="B33">
        <v>-1</v>
      </c>
      <c r="C33" s="55">
        <f>COUNTIF(I11:I32,"&lt;&gt;-1")</f>
        <v>19</v>
      </c>
      <c r="D33" s="56"/>
      <c r="E33" s="12"/>
      <c r="F33" s="57">
        <f ca="1">IF(C33=0,1,(COUNTIF(H11:H32,TRUE)+COUNTIF(H11:H32,"Complete")) / (C33))</f>
        <v>1</v>
      </c>
      <c r="G33" s="56"/>
      <c r="H33" s="11"/>
    </row>
  </sheetData>
  <sheetProtection password="E36C" sheet="1" objects="1" scenarios="1" insertHyperlinks="0"/>
  <mergeCells count="5">
    <mergeCell ref="C11:E11"/>
    <mergeCell ref="C16:E16"/>
    <mergeCell ref="C18:E18"/>
    <mergeCell ref="C33:D33"/>
    <mergeCell ref="F33:G33"/>
  </mergeCells>
  <conditionalFormatting sqref="H11">
    <cfRule type="containsText" dxfId="11" priority="1" operator="containsText" text="~?">
      <formula>NOT(ISERROR(SEARCH("~?",H11)))</formula>
    </cfRule>
  </conditionalFormatting>
  <conditionalFormatting sqref="H16">
    <cfRule type="containsText" dxfId="10" priority="2" operator="containsText" text="~?">
      <formula>NOT(ISERROR(SEARCH("~?",H16)))</formula>
    </cfRule>
  </conditionalFormatting>
  <conditionalFormatting sqref="H18">
    <cfRule type="containsText" dxfId="9" priority="3" operator="containsText" text="~?">
      <formula>NOT(ISERROR(SEARCH("~?",H18)))</formula>
    </cfRule>
  </conditionalFormatting>
  <conditionalFormatting sqref="C11:G32">
    <cfRule type="expression" dxfId="8" priority="4">
      <formula>$I11=1</formula>
    </cfRule>
  </conditionalFormatting>
  <conditionalFormatting sqref="H11">
    <cfRule type="expression" dxfId="7" priority="5">
      <formula>$H11=""</formula>
    </cfRule>
  </conditionalFormatting>
  <conditionalFormatting sqref="H16">
    <cfRule type="expression" dxfId="6" priority="6">
      <formula>$H16=""</formula>
    </cfRule>
  </conditionalFormatting>
  <conditionalFormatting sqref="H18">
    <cfRule type="expression" dxfId="5" priority="7">
      <formula>$H18=""</formula>
    </cfRule>
  </conditionalFormatting>
  <conditionalFormatting sqref="H11:H32">
    <cfRule type="expression" dxfId="4" priority="8">
      <formula>$H11 ="Complete"</formula>
    </cfRule>
    <cfRule type="expression" dxfId="3" priority="9">
      <formula>$H11=1</formula>
    </cfRule>
    <cfRule type="expression" dxfId="2" priority="10">
      <formula>$H11</formula>
    </cfRule>
    <cfRule type="expression" dxfId="1" priority="11">
      <formula>AND(NOT(ISBLANK($H11)), NOT($H11))</formula>
    </cfRule>
    <cfRule type="expression" dxfId="0" priority="12">
      <formula>NOT(ISBLANK($H11))</formula>
    </cfRule>
  </conditionalFormatting>
  <dataValidations count="7">
    <dataValidation type="list" showErrorMessage="1" errorTitle="Error - Invalid Input" error="Please select an item from the drop-down list." sqref="F19:F20" xr:uid="{00000000-0002-0000-0200-000000000000}">
      <formula1>"Yes,No"</formula1>
    </dataValidation>
    <dataValidation type="list" showErrorMessage="1" errorTitle="Error - Invalid Input" error="Please select an item from the drop-down list." sqref="F26" xr:uid="{00000000-0002-0000-0200-000001000000}">
      <formula1>"Yes - Please explain why you failed to meet the deadline,No"</formula1>
    </dataValidation>
    <dataValidation type="list" showErrorMessage="1" errorTitle="Error - Invalid Input" error="Please select an item from the drop-down list." sqref="F21" xr:uid="{00000000-0002-0000-0200-000002000000}">
      <formula1>"Yes; what changed?,No"</formula1>
    </dataValidation>
    <dataValidation type="list" showErrorMessage="1" errorTitle="Error - Invalid Input" error="Please select an item from the drop-down list." sqref="F31" xr:uid="{00000000-0002-0000-0200-000003000000}">
      <formula1>"Yes,No - What positions are open &amp; why? How does this impact your services?"</formula1>
    </dataValidation>
    <dataValidation type="list" showErrorMessage="1" errorTitle="Error - Invalid Input" error="Please select an item from the drop-down list." sqref="F22" xr:uid="{00000000-0002-0000-0200-000004000000}">
      <formula1>"Yes; How much? From what source? Why was funding lost?,No"</formula1>
    </dataValidation>
    <dataValidation type="list" showErrorMessage="1" errorTitle="Error - Invalid Input" error="Please select an item from the drop-down list." sqref="F23" xr:uid="{00000000-0002-0000-0200-000005000000}">
      <formula1>"Yes - Please list source(s) and amount(s).,No"</formula1>
    </dataValidation>
    <dataValidation type="list" showErrorMessage="1" errorTitle="Error - Invalid Input" error="Please select an item from the drop-down list." sqref="F12" xr:uid="{00000000-0002-0000-0200-000006000000}">
      <formula1>"Medical Services,Core Social Services,Quality of Life Improvement Services"</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4"/>
  <sheetViews>
    <sheetView workbookViewId="0">
      <selection sqref="A1:U4"/>
    </sheetView>
  </sheetViews>
  <sheetFormatPr defaultRowHeight="15.5" x14ac:dyDescent="0.35"/>
  <sheetData>
    <row r="1" spans="1:21" x14ac:dyDescent="0.35">
      <c r="A1" s="26" t="s">
        <v>61</v>
      </c>
      <c r="B1" s="1" t="b">
        <f>FALSE()</f>
        <v>0</v>
      </c>
      <c r="C1" s="1" t="b">
        <f>FALSE()</f>
        <v>0</v>
      </c>
      <c r="D1" s="26" t="s">
        <v>65</v>
      </c>
      <c r="E1" s="1" t="b">
        <f>FALSE()</f>
        <v>0</v>
      </c>
      <c r="F1" s="1" t="b">
        <f>TRUE()</f>
        <v>1</v>
      </c>
      <c r="G1" s="26" t="s">
        <v>68</v>
      </c>
      <c r="H1" s="1" t="b">
        <f>TRUE()</f>
        <v>1</v>
      </c>
      <c r="I1" s="1" t="b">
        <f>FALSE()</f>
        <v>0</v>
      </c>
      <c r="J1" s="26" t="s">
        <v>70</v>
      </c>
      <c r="K1" s="1" t="b">
        <f>TRUE()</f>
        <v>1</v>
      </c>
      <c r="L1" s="1" t="b">
        <f>FALSE()</f>
        <v>0</v>
      </c>
      <c r="M1" s="26" t="s">
        <v>72</v>
      </c>
      <c r="N1" s="1" t="b">
        <f>TRUE()</f>
        <v>1</v>
      </c>
      <c r="O1" s="1" t="b">
        <f>FALSE()</f>
        <v>0</v>
      </c>
      <c r="P1" s="26" t="s">
        <v>74</v>
      </c>
      <c r="Q1" s="1" t="b">
        <f>TRUE()</f>
        <v>1</v>
      </c>
      <c r="R1" s="1" t="b">
        <f>FALSE()</f>
        <v>0</v>
      </c>
      <c r="S1" s="26" t="s">
        <v>65</v>
      </c>
      <c r="T1" s="1" t="b">
        <f>FALSE()</f>
        <v>0</v>
      </c>
      <c r="U1" s="1" t="b">
        <f>FALSE()</f>
        <v>0</v>
      </c>
    </row>
    <row r="2" spans="1:21" x14ac:dyDescent="0.35">
      <c r="A2" s="26" t="s">
        <v>62</v>
      </c>
      <c r="B2" s="1" t="b">
        <f>FALSE()</f>
        <v>0</v>
      </c>
      <c r="C2" s="1" t="b">
        <f>FALSE()</f>
        <v>0</v>
      </c>
      <c r="D2" s="26" t="s">
        <v>66</v>
      </c>
      <c r="E2" s="1" t="b">
        <f>FALSE()</f>
        <v>0</v>
      </c>
      <c r="F2" s="1" t="b">
        <f>TRUE()</f>
        <v>1</v>
      </c>
      <c r="G2" s="26" t="s">
        <v>66</v>
      </c>
      <c r="H2" s="1" t="b">
        <f>FALSE()</f>
        <v>0</v>
      </c>
      <c r="I2" s="1" t="b">
        <f>TRUE()</f>
        <v>1</v>
      </c>
      <c r="J2" s="26" t="s">
        <v>66</v>
      </c>
      <c r="K2" s="1" t="b">
        <f>FALSE()</f>
        <v>0</v>
      </c>
      <c r="L2" s="1" t="b">
        <f>TRUE()</f>
        <v>1</v>
      </c>
      <c r="M2" s="26" t="s">
        <v>66</v>
      </c>
      <c r="N2" s="1" t="b">
        <f>FALSE()</f>
        <v>0</v>
      </c>
      <c r="O2" s="1" t="b">
        <f>TRUE()</f>
        <v>1</v>
      </c>
      <c r="P2" s="26" t="s">
        <v>66</v>
      </c>
      <c r="Q2" s="1" t="b">
        <f>FALSE()</f>
        <v>0</v>
      </c>
      <c r="R2" s="1" t="b">
        <f>TRUE()</f>
        <v>1</v>
      </c>
      <c r="S2" s="26" t="s">
        <v>76</v>
      </c>
      <c r="T2" s="1" t="b">
        <f>TRUE()</f>
        <v>1</v>
      </c>
      <c r="U2" s="1" t="b">
        <f>FALSE()</f>
        <v>0</v>
      </c>
    </row>
    <row r="3" spans="1:21" x14ac:dyDescent="0.35">
      <c r="A3" s="26" t="s">
        <v>63</v>
      </c>
      <c r="B3" s="1" t="b">
        <f>FALSE()</f>
        <v>0</v>
      </c>
      <c r="C3" s="1" t="b">
        <f>FALSE()</f>
        <v>0</v>
      </c>
      <c r="D3" s="1" t="s">
        <v>67</v>
      </c>
      <c r="E3" s="1"/>
      <c r="F3" s="1"/>
      <c r="G3" s="1" t="s">
        <v>69</v>
      </c>
      <c r="H3" s="1"/>
      <c r="I3" s="1"/>
      <c r="J3" s="1" t="s">
        <v>71</v>
      </c>
      <c r="K3" s="1"/>
      <c r="L3" s="1"/>
      <c r="M3" s="1" t="s">
        <v>73</v>
      </c>
      <c r="N3" s="1"/>
      <c r="O3" s="1"/>
      <c r="P3" s="1" t="s">
        <v>75</v>
      </c>
      <c r="Q3" s="1"/>
      <c r="R3" s="1"/>
      <c r="S3" s="1" t="s">
        <v>77</v>
      </c>
      <c r="T3" s="1"/>
      <c r="U3" s="1"/>
    </row>
    <row r="4" spans="1:21" x14ac:dyDescent="0.35">
      <c r="A4" s="1" t="s">
        <v>64</v>
      </c>
      <c r="B4" s="1"/>
      <c r="C4" s="1"/>
      <c r="D4" s="1"/>
      <c r="E4" s="1"/>
      <c r="F4" s="1"/>
      <c r="G4" s="1"/>
      <c r="H4" s="1"/>
      <c r="I4" s="1"/>
      <c r="J4" s="1"/>
      <c r="K4" s="1"/>
      <c r="L4" s="1"/>
      <c r="M4" s="1"/>
      <c r="N4" s="1"/>
      <c r="O4" s="1"/>
      <c r="P4" s="1"/>
      <c r="Q4" s="1"/>
      <c r="R4" s="1"/>
      <c r="S4" s="1"/>
      <c r="T4" s="1"/>
      <c r="U4" s="1"/>
    </row>
  </sheetData>
  <sheetProtection password="E36C"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14</vt:i4>
      </vt:variant>
    </vt:vector>
  </HeadingPairs>
  <TitlesOfParts>
    <vt:vector size="17" baseType="lpstr">
      <vt:lpstr>Instructions</vt:lpstr>
      <vt:lpstr>Summary</vt:lpstr>
      <vt:lpstr>1</vt:lpstr>
      <vt:lpstr>responseOption0</vt:lpstr>
      <vt:lpstr>responseOption1</vt:lpstr>
      <vt:lpstr>responseOption2</vt:lpstr>
      <vt:lpstr>responseOption3</vt:lpstr>
      <vt:lpstr>responseOption4</vt:lpstr>
      <vt:lpstr>responseOption5</vt:lpstr>
      <vt:lpstr>responseOption6</vt:lpstr>
      <vt:lpstr>responseValidationRulesGroup0</vt:lpstr>
      <vt:lpstr>responseValidationRulesGroup1</vt:lpstr>
      <vt:lpstr>responseValidationRulesGroup2</vt:lpstr>
      <vt:lpstr>responseValidationRulesGroup3</vt:lpstr>
      <vt:lpstr>responseValidationRulesGroup4</vt:lpstr>
      <vt:lpstr>responseValidationRulesGroup5</vt:lpstr>
      <vt:lpstr>responseValidationRulesGroup6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Response Template</dc:title>
  <dc:subject/>
  <dc:creator>Bonfire</dc:creator>
  <cp:keywords/>
  <dc:description/>
  <cp:lastModifiedBy>Heidi Golightly</cp:lastModifiedBy>
  <cp:lastPrinted>2025-02-21T14:13:25Z</cp:lastPrinted>
  <dcterms:created xsi:type="dcterms:W3CDTF">2025-02-11T13:33:44Z</dcterms:created>
  <dcterms:modified xsi:type="dcterms:W3CDTF">2025-03-16T18:05:10Z</dcterms:modified>
  <cp:category/>
</cp:coreProperties>
</file>