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mc:AlternateContent xmlns:mc="http://schemas.openxmlformats.org/markup-compatibility/2006">
    <mc:Choice Requires="x15">
      <x15ac:absPath xmlns:x15ac="http://schemas.microsoft.com/office/spreadsheetml/2010/11/ac" url="https://d.docs.live.net/b770312834834870/Documents/"/>
    </mc:Choice>
  </mc:AlternateContent>
  <xr:revisionPtr revIDLastSave="0" documentId="8_{829A8961-1476-4126-9EA6-CAC78EFE4953}" xr6:coauthVersionLast="47" xr6:coauthVersionMax="47" xr10:uidLastSave="{00000000-0000-0000-0000-000000000000}"/>
  <workbookProtection lockStructure="1"/>
  <bookViews>
    <workbookView xWindow="-120" yWindow="-120" windowWidth="29040" windowHeight="15720" activeTab="1" xr2:uid="{00000000-000D-0000-FFFF-FFFF00000000}"/>
  </bookViews>
  <sheets>
    <sheet name="Instructions" sheetId="1" r:id="rId1"/>
    <sheet name="Summary" sheetId="2" r:id="rId2"/>
    <sheet name="1" sheetId="3" r:id="rId3"/>
    <sheet name="Response Options (hidden)" sheetId="4" state="veryHidden" r:id="rId4"/>
  </sheets>
  <definedNames>
    <definedName name="responseOption0">'Response Options (hidden)'!$A$1:$A$3</definedName>
    <definedName name="responseOption1">'Response Options (hidden)'!$D$1:$D$2</definedName>
    <definedName name="responseOption2">'Response Options (hidden)'!$G$1:$G$2</definedName>
    <definedName name="responseOption3">'Response Options (hidden)'!$J$1:$J$2</definedName>
    <definedName name="responseOption4">'Response Options (hidden)'!$M$1:$M$2</definedName>
    <definedName name="responseOption5">'Response Options (hidden)'!$P$1:$P$2</definedName>
    <definedName name="responseOption6">'Response Options (hidden)'!$S$1:$S$2</definedName>
    <definedName name="responseValidationRulesGroup0">'Response Options (hidden)'!$A$1:$C$4</definedName>
    <definedName name="responseValidationRulesGroup1">'Response Options (hidden)'!$D$1:$F$3</definedName>
    <definedName name="responseValidationRulesGroup2">'Response Options (hidden)'!$G$1:$I$3</definedName>
    <definedName name="responseValidationRulesGroup3">'Response Options (hidden)'!$J$1:$L$3</definedName>
    <definedName name="responseValidationRulesGroup4">'Response Options (hidden)'!$M$1:$O$3</definedName>
    <definedName name="responseValidationRulesGroup5">'Response Options (hidden)'!$P$1:$R$3</definedName>
    <definedName name="responseValidationRulesGroup6">'Response Options (hidden)'!$S$1:$U$3</definedName>
  </definedName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4" l="1"/>
  <c r="B3" i="4"/>
  <c r="U2" i="4"/>
  <c r="T2" i="4"/>
  <c r="R2" i="4"/>
  <c r="Q2" i="4"/>
  <c r="O2" i="4"/>
  <c r="N2" i="4"/>
  <c r="L2" i="4"/>
  <c r="K2" i="4"/>
  <c r="I2" i="4"/>
  <c r="H2" i="4"/>
  <c r="F2" i="4"/>
  <c r="E2" i="4"/>
  <c r="C2" i="4"/>
  <c r="B2" i="4"/>
  <c r="U1" i="4"/>
  <c r="T1" i="4"/>
  <c r="R1" i="4"/>
  <c r="Q1" i="4"/>
  <c r="O1" i="4"/>
  <c r="N1" i="4"/>
  <c r="L1" i="4"/>
  <c r="K1" i="4"/>
  <c r="H22" i="3" s="1"/>
  <c r="I1" i="4"/>
  <c r="H1" i="4"/>
  <c r="F1" i="4"/>
  <c r="E1" i="4"/>
  <c r="C1" i="4"/>
  <c r="B1" i="4"/>
  <c r="C33" i="3"/>
  <c r="H32" i="3"/>
  <c r="H31" i="3"/>
  <c r="H30" i="3"/>
  <c r="H29" i="3"/>
  <c r="H28" i="3"/>
  <c r="H27" i="3"/>
  <c r="H26" i="3"/>
  <c r="H25" i="3"/>
  <c r="H24" i="3"/>
  <c r="H18" i="3"/>
  <c r="H17" i="3"/>
  <c r="H16" i="3"/>
  <c r="H15" i="3"/>
  <c r="H14" i="3"/>
  <c r="H13" i="3"/>
  <c r="H11" i="3"/>
  <c r="H23" i="3" l="1"/>
  <c r="H20" i="3"/>
  <c r="H12" i="3"/>
  <c r="H21" i="3"/>
  <c r="H19" i="3"/>
  <c r="C11" i="2"/>
  <c r="C14" i="2" s="1"/>
  <c r="F33" i="3" l="1"/>
  <c r="E11" i="2" s="1"/>
  <c r="AR12" i="2" s="1"/>
  <c r="I12" i="2" l="1"/>
  <c r="S12" i="2"/>
  <c r="Y12" i="2"/>
  <c r="L12" i="2"/>
  <c r="AM12" i="2"/>
  <c r="AN12" i="2"/>
  <c r="AZ12" i="2"/>
  <c r="Z12" i="2"/>
  <c r="M12" i="2"/>
  <c r="AG12" i="2"/>
  <c r="N12" i="2"/>
  <c r="X12" i="2"/>
  <c r="AU12" i="2"/>
  <c r="E14" i="2"/>
  <c r="AQ15" i="2" s="1"/>
  <c r="AS12" i="2"/>
  <c r="AV12" i="2"/>
  <c r="R12" i="2"/>
  <c r="AJ12" i="2"/>
  <c r="BC12" i="2"/>
  <c r="AT12" i="2"/>
  <c r="AO12" i="2"/>
  <c r="AB12" i="2"/>
  <c r="W12" i="2"/>
  <c r="AW12" i="2"/>
  <c r="BD12" i="2"/>
  <c r="U12" i="2"/>
  <c r="P12" i="2"/>
  <c r="AI12" i="2"/>
  <c r="J12" i="2"/>
  <c r="AD12" i="2"/>
  <c r="AX12" i="2"/>
  <c r="AH12" i="2"/>
  <c r="Q12" i="2"/>
  <c r="AC12" i="2"/>
  <c r="AA12" i="2"/>
  <c r="T12" i="2"/>
  <c r="AP12" i="2"/>
  <c r="AK12" i="2"/>
  <c r="G12" i="2"/>
  <c r="K12" i="2"/>
  <c r="V12" i="2"/>
  <c r="BA12" i="2"/>
  <c r="H12" i="2"/>
  <c r="AY12" i="2"/>
  <c r="O12" i="2"/>
  <c r="AF12" i="2"/>
  <c r="AL12" i="2"/>
  <c r="AQ12" i="2"/>
  <c r="AE12" i="2"/>
  <c r="BB12" i="2"/>
  <c r="BF11" i="2"/>
  <c r="AC15" i="2" l="1"/>
  <c r="Y15" i="2"/>
  <c r="AB15" i="2"/>
  <c r="P15" i="2"/>
  <c r="AG15" i="2"/>
  <c r="AU15" i="2"/>
  <c r="J15" i="2"/>
  <c r="O15" i="2"/>
  <c r="AS15" i="2"/>
  <c r="BA15" i="2"/>
  <c r="AV15" i="2"/>
  <c r="K15" i="2"/>
  <c r="AO15" i="2"/>
  <c r="R15" i="2"/>
  <c r="AX15" i="2"/>
  <c r="AK15" i="2"/>
  <c r="H15" i="2"/>
  <c r="G15" i="2"/>
  <c r="Q15" i="2"/>
  <c r="AM15" i="2"/>
  <c r="T15" i="2"/>
  <c r="AJ15" i="2"/>
  <c r="AW15" i="2"/>
  <c r="AH15" i="2"/>
  <c r="AE15" i="2"/>
  <c r="AZ15" i="2"/>
  <c r="X15" i="2"/>
  <c r="AA15" i="2"/>
  <c r="AT15" i="2"/>
  <c r="Z15" i="2"/>
  <c r="L15" i="2"/>
  <c r="BD15" i="2"/>
  <c r="AY15" i="2"/>
  <c r="V15" i="2"/>
  <c r="BB15" i="2"/>
  <c r="AF15" i="2"/>
  <c r="M15" i="2"/>
  <c r="AP15" i="2"/>
  <c r="U15" i="2"/>
  <c r="AR15" i="2"/>
  <c r="S15" i="2"/>
  <c r="AN15" i="2"/>
  <c r="AI15" i="2"/>
  <c r="I15" i="2"/>
  <c r="BC15" i="2"/>
  <c r="AL15" i="2"/>
  <c r="N15" i="2"/>
  <c r="W15" i="2"/>
  <c r="AD15" i="2"/>
</calcChain>
</file>

<file path=xl/sharedStrings.xml><?xml version="1.0" encoding="utf-8"?>
<sst xmlns="http://schemas.openxmlformats.org/spreadsheetml/2006/main" count="108" uniqueCount="93">
  <si>
    <t>f8ce41f73d109d801973610454aa27c1988ba3c48bc22d77d2f6eda22a281d1dc37f43f8b4f50a92724708df9e2342f27c4fec12b69d0691d9436cb7256cc2c9VGdvMhaMWgB8y4iElpeaGhnovvqnqj+3eqHniiHFmjKbnmKHXQTm2cBAp8GKmWXY</t>
  </si>
  <si>
    <t>HSAB Applicant Questions (Q-59IT)</t>
  </si>
  <si>
    <t>Instructions</t>
  </si>
  <si>
    <t>- The Summary worksheet displays your overall progress for the questionnaire.
- The worksheets numbered from 1 to N represent question sets.
- For each question set, select a response from the dropdown (if applicable) and enter a response comment for each question in the table.
- If specific instructions have been provided for a given subset, they will appear as a tooltip for a purple cell. Mouse-over to review them.
- When pasting content, please use Paste Special as Text without any formatting.
- You can only submit text based responses, please do not use special characters like emojis.
- Please do not change the structure of any of the worksheets. Changing the structure will invalidate your submission.
- Any additional information outside of the given structure of the worksheets will not be visible to the purchaser.
- Please do not save this file in a different format. Saving this file in a different format will invalidate your submission.
- Please do not use Excel formulas in your responses.
- Please follow the instructions provided along with this file to submit it back to Bonfire.
- If you have any questions regarding the content of this file, please contact the appropriate purchaser.
- If you have any technical problems, please contact Bonfire at Support@GoBonfire.com.</t>
  </si>
  <si>
    <t>Additional Instructions</t>
  </si>
  <si>
    <t>Summary tab shows progress completed, Tab 1 contains the questions to be answered.</t>
  </si>
  <si>
    <t>Total</t>
  </si>
  <si>
    <t>Summary</t>
  </si>
  <si>
    <t>Question Set</t>
  </si>
  <si>
    <t>Questions</t>
  </si>
  <si>
    <t>Hide Me</t>
  </si>
  <si>
    <t>% Complete</t>
  </si>
  <si>
    <t>Progress</t>
  </si>
  <si>
    <t>Error?</t>
  </si>
  <si>
    <t>Question Set 1: Questions</t>
  </si>
  <si>
    <t>#</t>
  </si>
  <si>
    <t>Question</t>
  </si>
  <si>
    <t>Response</t>
  </si>
  <si>
    <t>Comment</t>
  </si>
  <si>
    <t>Status</t>
  </si>
  <si>
    <t>General Use of Funds</t>
  </si>
  <si>
    <t>1.1.1</t>
  </si>
  <si>
    <t xml:space="preserve">
Amount requested for the upcoming fiscal year and select the category that best matches the proposed services. If the proposed program involves more than one (1) category enter the budget request for each category.
-Medical Services: Medical, mental, and dental care for the economically disadvantaged.
-Core Social Services: Essential services such as food clothing or housing: emergency disaster; family violence; and adult and child daycare.
-Quality of Life Improvement Services: Services provided to improve the quality of life for individuals or the community such as educational, preventative, training, recreational, and cultural services; etc.
</t>
  </si>
  <si>
    <t>1.1.2</t>
  </si>
  <si>
    <t xml:space="preserve">
Insert your agency’s board-approved mission statement only.
</t>
  </si>
  <si>
    <t>1.1.3</t>
  </si>
  <si>
    <t xml:space="preserve">
List the services your agency provides.
</t>
  </si>
  <si>
    <t>1.1.4</t>
  </si>
  <si>
    <t xml:space="preserve">
For fiscal year 2026, specifically how will the amount requested be utilized?
</t>
  </si>
  <si>
    <t>Cover Letter</t>
  </si>
  <si>
    <t>1.2.1</t>
  </si>
  <si>
    <t xml:space="preserve">
I: Provide a brief overview of your organization, what unique role in the community does your organization's proposed program fulfill that no one else does? 
II: Collaboration between agencies can bring cost-savings for all. Please describe any current cost-sharing measures, overlap, common associations, common services, networking and working relationships, or sub-contractor relationships you are involved in with any other organizations. Examples may include, but aren't limited to, shared services such as human resources, payroll processing, or IT, board members, or personnel.
</t>
  </si>
  <si>
    <t>Application Questions</t>
  </si>
  <si>
    <t>1.3.1</t>
  </si>
  <si>
    <t xml:space="preserve">
Have you previously been funded by HSAB?
</t>
  </si>
  <si>
    <t>1.3.2</t>
  </si>
  <si>
    <t xml:space="preserve">
Will County HSAB funds be used as match for a grant?
</t>
  </si>
  <si>
    <t>1.3.3</t>
  </si>
  <si>
    <t xml:space="preserve">
Have you experienced any changes specific to expansion or contraction of services, staff or location.
</t>
  </si>
  <si>
    <t>1.3.4</t>
  </si>
  <si>
    <t xml:space="preserve">
Did your agency lose any funding, or partial funding in 2025?
</t>
  </si>
  <si>
    <t>1.3.5</t>
  </si>
  <si>
    <t xml:space="preserve">
Will you or have you applied for other sources of County funding? 
(Please include these on the Agency Revenue form)
</t>
  </si>
  <si>
    <t>1.3.6</t>
  </si>
  <si>
    <t xml:space="preserve">
Describe your target population as specifically as possible.
</t>
  </si>
  <si>
    <t>1.3.7</t>
  </si>
  <si>
    <t xml:space="preserve">
How are clients referred to your agency?
</t>
  </si>
  <si>
    <t>1.3.8</t>
  </si>
  <si>
    <t xml:space="preserve">
Have you failed to submit any required reimbursement request, or the annual performance report as required by the grant agreement?
</t>
  </si>
  <si>
    <t>1.3.9</t>
  </si>
  <si>
    <t xml:space="preserve">
__________ hours of program service were contributed by ____________ volunteers in the last year (FY2023 - October 1, 2023 through September 30, 2024).
</t>
  </si>
  <si>
    <t>1.3.10</t>
  </si>
  <si>
    <t xml:space="preserve">
What measurable outcomes do you plan to accomplish in the next funding year and how will you measure these?
</t>
  </si>
  <si>
    <t>1.3.11</t>
  </si>
  <si>
    <t xml:space="preserve">
Provide information about units of service in the format below. (Response not required is applying for $5,000 or less).
Service: ______      Unit (Hour, session, day, etc.): ________       Cost charged per unit to client (range for current year): _____________
</t>
  </si>
  <si>
    <t>1.3.12</t>
  </si>
  <si>
    <t xml:space="preserve">
What is the current number of employees, full-time and part-time, on the payroll for the entire organization? How many employees ("snapshot") does your organization have as of today's date?
</t>
  </si>
  <si>
    <t>1.3.13</t>
  </si>
  <si>
    <t xml:space="preserve">
Is your organization fully staffed?
</t>
  </si>
  <si>
    <t>1.3.14</t>
  </si>
  <si>
    <t xml:space="preserve">
Address any topics not covered or include any additional information you would like the board to know (optional). Documents can be added in file uploads as under additional documentation.
</t>
  </si>
  <si>
    <t>Medical Services</t>
  </si>
  <si>
    <t>Core Social Services</t>
  </si>
  <si>
    <t>Quality of Life Improvement Services</t>
  </si>
  <si>
    <t>Medical Services, Core Social Services, Quality of Life Improvement Services</t>
  </si>
  <si>
    <t>Yes</t>
  </si>
  <si>
    <t>No</t>
  </si>
  <si>
    <t>Yes, No</t>
  </si>
  <si>
    <t>Yes; what changed?</t>
  </si>
  <si>
    <t>Yes; what changed?, No</t>
  </si>
  <si>
    <t>Yes; How much? From what source? Why was funding lost?</t>
  </si>
  <si>
    <t>Yes; How much? From what source? Why was funding lost?, No</t>
  </si>
  <si>
    <t>Yes - Please list source(s) and amount(s).</t>
  </si>
  <si>
    <t>Yes - Please list source(s) and amount(s)., No</t>
  </si>
  <si>
    <t>Yes - Please explain why you failed to meet the deadline</t>
  </si>
  <si>
    <t>Yes - Please explain why you failed to meet the deadline, No</t>
  </si>
  <si>
    <t>No - What positions are open &amp; why? How does this impact your services?</t>
  </si>
  <si>
    <t>Yes, No - What positions are open &amp; why? How does this impact your services?</t>
  </si>
  <si>
    <t>$45,000</t>
  </si>
  <si>
    <t>Independence Cay provides services for people who have been temporarily displaced from traditional permanent housing. Our services include: transitional housing, soup kitchen, laundry, showers, case management, and inclement weather shelter.</t>
  </si>
  <si>
    <t>Soup kitchen-hot lunch 7 days/week, also food available for housing residents for dinner/breakfast</t>
  </si>
  <si>
    <t xml:space="preserve">Funds will be used toward the building rent, utilities, and program employees to keep the transitional housing program open and safe and the soup kitchen operating seven days a week and keep laundry, showers, and case management available to the homeless </t>
  </si>
  <si>
    <t>Independence Cay homeless services operate a soup kitchen providing a hot, nutritious lunch seven days/week to all in need. It also provides showers and laundry seven days a week. The transitional housing program provides temporary housing for up to 18 men at a time who are homeless but willing to commit to a sober lifestyle and seek work. Supports include assisting to resolve any issues that have impeded the client to maintain independent housing and functioning in the community. There is no duplication of services. Independence Cay is the only Monroe County service provider outside of Key West to serve the homeless with housing, a soup kitchen, and an opportunity to take a shower, and luander their clothes. It also provides the opportunity to be assessed, identify services and provide the necessary case management and refer to KAIR for further needed services (such as IDs, medical co-pays, etc.) The transitional housing program is needed in the Middle Keys for those men who want to settle and work in the Middle and Upper Keys and need a housing program to stay sober, get on their feet, obtain work, and resolve other obstacles to full community participation. This is needed more than ever now that there has been an increasing issue with homelessness in the Keys witnessed by the recent 20th Street encampment in Marathon.</t>
  </si>
  <si>
    <t>We have consolidated our staffing to make it more efficient and reduce staffing costs.</t>
  </si>
  <si>
    <t>We lost $15,000 from Episcopal Charities of SE Florida. They no longer have an executive director or anyone running their charitable services. Multiple agencies in the Keys did not receive a grant for 2025. This is a big impact on Indy Cay.</t>
  </si>
  <si>
    <t>SAFF (Sheriff's Dept. $5,000 received in 24-25</t>
  </si>
  <si>
    <t>Homeless or precariously housed individuals in Monroe County. Also, recently released prisoners from jail or patients from the Guidance Care Center, the hospitals, rehab., etc.</t>
  </si>
  <si>
    <t>Through law enforcement probation; physical and mental health providers; employers; other agencies; word of mouth.</t>
  </si>
  <si>
    <t>1570   47</t>
  </si>
  <si>
    <t>Provide 14,600 meals, Provide transitional housing to 45 men; Provide laundry/showers to 15 people daily; collaborate with local government and law enforcement to decrease the negative effects of homelessness on the community</t>
  </si>
  <si>
    <t>365 days/year; 24/7 housing; inclement shelter housing 7-10 days/year; assessment and case management 365 days/year</t>
  </si>
  <si>
    <t>3</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</si>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</sst>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quot;Questions&quot;"/>
    <numFmt numFmtId="165" formatCode="0\ &quot;pts&quot;"/>
    <numFmt numFmtId="166" formatCode="0.00%\ &quot;Complete&quot;"/>
    <numFmt numFmtId="167" formatCode="&quot;The comment must be left blank for this response&quot;"/>
  </numFmts>
  <fonts count="5" x14ac:knownFonts="1">
    <font>
      <sz val="12"/>
      <color rgb="FF000000"/>
      <name val="Arial"/>
    </font>
    <font>
      <b/>
      <sz val="22"/>
      <color rgb="FF404040"/>
      <name val="Arial"/>
    </font>
    <font>
      <b/>
      <sz val="12"/>
      <color rgb="FFFFFFFF"/>
      <name val="Arial"/>
    </font>
    <font>
      <b/>
      <sz val="14"/>
      <color rgb="FFFFFFFF"/>
      <name val="Arial"/>
    </font>
    <font>
      <sz val="12"/>
      <color rgb="FFFFFFFF"/>
      <name val="Arial"/>
    </font>
  </fonts>
  <fills count="7">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rgb="FF5FADCF"/>
        <bgColor rgb="FF000000"/>
      </patternFill>
    </fill>
    <fill>
      <patternFill patternType="solid">
        <fgColor rgb="FF548BA1"/>
        <bgColor rgb="FF000000"/>
      </patternFill>
    </fill>
    <fill>
      <patternFill patternType="solid">
        <fgColor rgb="FF7F7F7F"/>
        <bgColor rgb="FF000000"/>
      </patternFill>
    </fill>
  </fills>
  <borders count="25">
    <border>
      <left/>
      <right/>
      <top/>
      <bottom/>
      <diagonal/>
    </border>
    <border>
      <left style="thin">
        <color rgb="FFBFBFBF"/>
      </left>
      <right style="dotted">
        <color rgb="FFBFBFBF"/>
      </right>
      <top style="thin">
        <color rgb="FFBFBFBF"/>
      </top>
      <bottom style="thin">
        <color rgb="FFBFBFBF"/>
      </bottom>
      <diagonal/>
    </border>
    <border>
      <left style="dotted">
        <color rgb="FFBFBFBF"/>
      </left>
      <right style="dotted">
        <color rgb="FFBFBFBF"/>
      </right>
      <top style="thin">
        <color rgb="FFBFBFBF"/>
      </top>
      <bottom style="thin">
        <color rgb="FFBFBFBF"/>
      </bottom>
      <diagonal/>
    </border>
    <border>
      <left style="dotted">
        <color rgb="FFBFBFBF"/>
      </left>
      <right style="thin">
        <color rgb="FFBFBFBF"/>
      </right>
      <top style="thin">
        <color rgb="FFBFBFBF"/>
      </top>
      <bottom style="thin">
        <color rgb="FFBFBFBF"/>
      </bottom>
      <diagonal/>
    </border>
    <border>
      <left/>
      <right style="dotted">
        <color rgb="FFBFBFBF"/>
      </right>
      <top/>
      <bottom/>
      <diagonal/>
    </border>
    <border>
      <left style="dotted">
        <color rgb="FFBFBFBF"/>
      </left>
      <right style="dotted">
        <color rgb="FFBFBFBF"/>
      </right>
      <top/>
      <bottom/>
      <diagonal/>
    </border>
    <border>
      <left style="dotted">
        <color rgb="FFBFBFBF"/>
      </left>
      <right/>
      <top/>
      <bottom/>
      <diagonal/>
    </border>
    <border>
      <left/>
      <right/>
      <top style="medium">
        <color rgb="FFBFBFBF"/>
      </top>
      <bottom/>
      <diagonal/>
    </border>
    <border>
      <left style="dotted">
        <color rgb="FFBFBFBF"/>
      </left>
      <right/>
      <top style="thin">
        <color rgb="FFBFBFBF"/>
      </top>
      <bottom/>
      <diagonal/>
    </border>
    <border>
      <left style="dotted">
        <color rgb="FFBFBFBF"/>
      </left>
      <right/>
      <top/>
      <bottom/>
      <diagonal/>
    </border>
    <border>
      <left style="dotted">
        <color rgb="FFBFBFBF"/>
      </left>
      <right/>
      <top/>
      <bottom style="thin">
        <color rgb="FFBFBFBF"/>
      </bottom>
      <diagonal/>
    </border>
    <border>
      <left/>
      <right/>
      <top style="thin">
        <color rgb="FFBFBFBF"/>
      </top>
      <bottom/>
      <diagonal/>
    </border>
    <border>
      <left/>
      <right/>
      <top/>
      <bottom style="thin">
        <color rgb="FFBFBFBF"/>
      </bottom>
      <diagonal/>
    </border>
    <border>
      <left/>
      <right style="dotted">
        <color rgb="FFBFBFBF"/>
      </right>
      <top style="thin">
        <color rgb="FFBFBFBF"/>
      </top>
      <bottom/>
      <diagonal/>
    </border>
    <border>
      <left/>
      <right style="dotted">
        <color rgb="FFBFBFBF"/>
      </right>
      <top/>
      <bottom/>
      <diagonal/>
    </border>
    <border>
      <left/>
      <right style="dotted">
        <color rgb="FFBFBFBF"/>
      </right>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dotted">
        <color rgb="FFBFBFBF"/>
      </right>
      <top style="medium">
        <color rgb="FFBFBFBF"/>
      </top>
      <bottom style="thin">
        <color rgb="FFBFBFBF"/>
      </bottom>
      <diagonal/>
    </border>
    <border>
      <left style="dotted">
        <color rgb="FFBFBFBF"/>
      </left>
      <right style="dotted">
        <color rgb="FFBFBFBF"/>
      </right>
      <top style="medium">
        <color rgb="FFBFBFBF"/>
      </top>
      <bottom style="thin">
        <color rgb="FFBFBFBF"/>
      </bottom>
      <diagonal/>
    </border>
    <border>
      <left style="dotted">
        <color rgb="FFBFBFBF"/>
      </left>
      <right/>
      <top style="medium">
        <color rgb="FFBFBFBF"/>
      </top>
      <bottom/>
      <diagonal/>
    </border>
    <border>
      <left/>
      <right/>
      <top style="medium">
        <color rgb="FFBFBFBF"/>
      </top>
      <bottom/>
      <diagonal/>
    </border>
    <border>
      <left/>
      <right style="dotted">
        <color rgb="FFBFBFBF"/>
      </right>
      <top style="medium">
        <color rgb="FFBFBFBF"/>
      </top>
      <bottom/>
      <diagonal/>
    </border>
    <border>
      <left style="dotted">
        <color rgb="FFBFBFBF"/>
      </left>
      <right style="thin">
        <color rgb="FFBFBFBF"/>
      </right>
      <top style="medium">
        <color rgb="FFBFBFBF"/>
      </top>
      <bottom style="thin">
        <color rgb="FFBFBFBF"/>
      </bottom>
      <diagonal/>
    </border>
  </borders>
  <cellStyleXfs count="1">
    <xf numFmtId="0" fontId="0" fillId="0" borderId="0"/>
  </cellStyleXfs>
  <cellXfs count="58">
    <xf numFmtId="0" fontId="0" fillId="2" borderId="0" xfId="0" applyFill="1" applyProtection="1">
      <protection locked="0"/>
    </xf>
    <xf numFmtId="0" fontId="0" fillId="2" borderId="0" xfId="0" applyFill="1"/>
    <xf numFmtId="0" fontId="1" fillId="2" borderId="0" xfId="0" applyFont="1" applyFill="1" applyAlignment="1">
      <alignment horizontal="lef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2" fillId="4" borderId="0" xfId="0" applyFont="1" applyFill="1" applyAlignment="1">
      <alignment horizontal="center" vertical="center" wrapText="1"/>
    </xf>
    <xf numFmtId="0" fontId="2" fillId="5" borderId="0" xfId="0" applyFont="1" applyFill="1" applyAlignment="1">
      <alignment horizontal="center" vertical="center" wrapText="1"/>
    </xf>
    <xf numFmtId="49" fontId="0" fillId="3" borderId="2" xfId="0" applyNumberFormat="1" applyFill="1" applyBorder="1" applyAlignment="1" applyProtection="1">
      <alignment horizontal="center" vertical="center" wrapText="1"/>
      <protection locked="0"/>
    </xf>
    <xf numFmtId="49" fontId="0" fillId="3" borderId="3" xfId="0" applyNumberFormat="1" applyFill="1" applyBorder="1" applyAlignment="1" applyProtection="1">
      <alignment horizontal="left" vertical="center" wrapText="1" indent="1"/>
      <protection locked="0"/>
    </xf>
    <xf numFmtId="0" fontId="3" fillId="6" borderId="4" xfId="0" applyFont="1" applyFill="1" applyBorder="1" applyAlignment="1" applyProtection="1">
      <alignment horizontal="left" vertical="center" indent="1"/>
      <protection locked="0"/>
    </xf>
    <xf numFmtId="0" fontId="3" fillId="6" borderId="6" xfId="0" applyFont="1" applyFill="1" applyBorder="1" applyAlignment="1" applyProtection="1">
      <alignment horizontal="left" vertical="center" wrapText="1" indent="1"/>
      <protection locked="0"/>
    </xf>
    <xf numFmtId="0" fontId="3" fillId="4" borderId="7" xfId="0" applyFont="1" applyFill="1" applyBorder="1" applyAlignment="1">
      <alignment horizontal="center" vertical="center"/>
    </xf>
    <xf numFmtId="165" fontId="3" fillId="4" borderId="7" xfId="0" applyNumberFormat="1" applyFont="1" applyFill="1" applyBorder="1" applyAlignment="1">
      <alignment horizontal="center" vertical="center"/>
    </xf>
    <xf numFmtId="0" fontId="0" fillId="3" borderId="2" xfId="0" applyFill="1" applyBorder="1" applyAlignment="1">
      <alignment horizontal="left" vertical="center" wrapText="1" indent="1"/>
    </xf>
    <xf numFmtId="167" fontId="0" fillId="2" borderId="0" xfId="0" applyNumberFormat="1" applyFill="1" applyAlignment="1">
      <alignment vertical="center" wrapText="1" indent="1" shrinkToFit="1"/>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49" fontId="0" fillId="2" borderId="0" xfId="0" applyNumberFormat="1" applyFill="1"/>
    <xf numFmtId="0" fontId="3" fillId="4" borderId="21"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5" xfId="0" applyFont="1" applyFill="1" applyBorder="1" applyAlignment="1">
      <alignment horizontal="center" vertical="center"/>
    </xf>
    <xf numFmtId="0" fontId="1" fillId="2" borderId="0" xfId="0" applyFont="1" applyFill="1" applyAlignment="1">
      <alignment horizontal="left" vertical="center" wrapText="1"/>
    </xf>
    <xf numFmtId="0" fontId="0" fillId="2" borderId="0" xfId="0" applyFill="1" applyProtection="1">
      <protection locked="0"/>
    </xf>
    <xf numFmtId="0" fontId="0" fillId="3" borderId="0" xfId="0" applyFill="1" applyAlignment="1">
      <alignment vertical="center" wrapText="1"/>
    </xf>
    <xf numFmtId="0" fontId="0" fillId="2" borderId="0" xfId="0" applyFill="1" applyAlignment="1">
      <alignment vertical="top" wrapText="1"/>
    </xf>
    <xf numFmtId="0" fontId="3" fillId="4" borderId="24" xfId="0" applyFont="1" applyFill="1" applyBorder="1" applyAlignment="1">
      <alignment horizontal="center" vertical="center"/>
    </xf>
    <xf numFmtId="0" fontId="3" fillId="4" borderId="3" xfId="0" applyFont="1"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2" fillId="4" borderId="0" xfId="0" applyFont="1" applyFill="1" applyAlignment="1">
      <alignment horizontal="center" vertical="center" wrapText="1"/>
    </xf>
    <xf numFmtId="0" fontId="3" fillId="4" borderId="19"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2" xfId="0" applyFont="1" applyFill="1" applyBorder="1" applyAlignment="1">
      <alignment horizontal="center" vertical="center"/>
    </xf>
    <xf numFmtId="0" fontId="3" fillId="6" borderId="4" xfId="0" applyFont="1" applyFill="1" applyBorder="1" applyAlignment="1">
      <alignment horizontal="left" vertical="center" wrapText="1" indent="1"/>
    </xf>
    <xf numFmtId="0" fontId="3" fillId="6" borderId="5" xfId="0" applyFont="1" applyFill="1" applyBorder="1" applyAlignment="1">
      <alignment horizontal="left" vertical="center" wrapText="1" indent="1"/>
    </xf>
    <xf numFmtId="0" fontId="3" fillId="6" borderId="6" xfId="0" applyFont="1" applyFill="1" applyBorder="1" applyAlignment="1">
      <alignment horizontal="left" vertical="center" wrapText="1" indent="1"/>
    </xf>
    <xf numFmtId="164" fontId="3" fillId="4" borderId="7" xfId="0" applyNumberFormat="1" applyFont="1" applyFill="1" applyBorder="1" applyAlignment="1">
      <alignment horizontal="center" vertical="center"/>
    </xf>
    <xf numFmtId="0" fontId="3" fillId="4" borderId="7" xfId="0" applyFont="1" applyFill="1" applyBorder="1" applyAlignment="1">
      <alignment horizontal="center" vertical="center"/>
    </xf>
    <xf numFmtId="166" fontId="3" fillId="4" borderId="7" xfId="0" applyNumberFormat="1" applyFont="1" applyFill="1" applyBorder="1" applyAlignment="1">
      <alignment horizontal="center" vertical="center"/>
    </xf>
  </cellXfs>
  <cellStyles count="1">
    <cellStyle name="Normal" xfId="0" builtinId="0"/>
  </cellStyles>
  <dxfs count="20">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color rgb="FF9C0006"/>
      </font>
      <fill>
        <patternFill patternType="solid">
          <fgColor rgb="FFF7C6CE"/>
          <bgColor rgb="FFF7C6CE"/>
        </patternFill>
      </fill>
    </dxf>
    <dxf>
      <font>
        <color rgb="FFF7C6CE"/>
      </font>
      <fill>
        <patternFill patternType="solid">
          <fgColor rgb="FFF7C6CE"/>
          <bgColor rgb="FFF7C6CE"/>
        </patternFill>
      </fill>
    </dxf>
    <dxf>
      <font>
        <color rgb="FFC5EFCE"/>
      </font>
      <fill>
        <patternFill patternType="solid">
          <fgColor rgb="FFC5EFCE"/>
          <bgColor rgb="FFC5EFCE"/>
        </patternFill>
      </fill>
    </dxf>
    <dxf>
      <font>
        <b val="0"/>
        <color rgb="FF404040"/>
      </font>
      <fill>
        <patternFill patternType="solid">
          <fgColor rgb="FFC5EFCE"/>
          <bgColor rgb="FFC5EFCE"/>
        </patternFill>
      </fill>
      <alignment horizontal="left" vertical="center"/>
    </dxf>
    <dxf>
      <font>
        <b/>
        <color rgb="FF006100"/>
      </font>
      <fill>
        <patternFill patternType="solid">
          <fgColor rgb="FFC5EFCE"/>
          <bgColor rgb="FFC5EFCE"/>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ill>
        <patternFill patternType="solid">
          <fgColor rgb="FFFFFFFF"/>
          <bgColor rgb="FFFFFFFF"/>
        </patternFill>
      </fill>
    </dxf>
    <dxf>
      <font>
        <b/>
        <color rgb="FF9C0006"/>
      </font>
      <fill>
        <patternFill patternType="solid">
          <fgColor rgb="FFF7C6CE"/>
          <bgColor rgb="FFF7C6CE"/>
        </patternFill>
      </fill>
    </dxf>
    <dxf>
      <font>
        <b/>
        <color rgb="FF006100"/>
      </font>
      <fill>
        <patternFill patternType="solid">
          <fgColor rgb="FFC5EFCE"/>
          <bgColor rgb="FFC5EFCE"/>
        </patternFill>
      </fill>
    </dxf>
    <dxf>
      <font>
        <color rgb="FFFFFFFF"/>
      </font>
      <fill>
        <patternFill patternType="solid">
          <fgColor rgb="FFFFFFFF"/>
          <bgColor rgb="FFFFFFFF"/>
        </patternFill>
      </fill>
    </dxf>
    <dxf>
      <font>
        <b/>
        <color rgb="FFC5EFCE"/>
      </font>
      <fill>
        <patternFill patternType="solid">
          <fgColor rgb="FFC5EFCE"/>
          <bgColor rgb="FFC5EFCE"/>
        </patternFill>
      </fill>
    </dxf>
    <dxf>
      <font>
        <color rgb="FFFFFFFF"/>
      </font>
      <fill>
        <patternFill patternType="solid">
          <fgColor rgb="FFFFFFFF"/>
          <bgColor rgb="FFFFFFFF"/>
        </patternFill>
      </fill>
    </dxf>
    <dxf>
      <font>
        <b/>
        <color rgb="FFC5EFCE"/>
      </font>
      <fill>
        <patternFill patternType="solid">
          <fgColor rgb="FFC5EFCE"/>
          <bgColor rgb="FFC5EFCE"/>
        </patternFill>
      </fill>
    </dxf>
    <dxf>
      <numFmt numFmtId="14" formatCode="0.00%"/>
    </dxf>
    <dxf>
      <fill>
        <patternFill patternType="solid">
          <fgColor rgb="FFFFFFFF"/>
          <bgColor rgb="FFFFFFFF"/>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695575" cy="733425"/>
    <xdr:pic>
      <xdr:nvPicPr>
        <xdr:cNvPr id="2" name="Monroe County, FL_Logo" descr="Monroe County, FL">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8:ZZ702"/>
  <sheetViews>
    <sheetView showRowColHeaders="0" topLeftCell="A17" workbookViewId="0">
      <selection activeCell="B16" sqref="B16:E16"/>
    </sheetView>
  </sheetViews>
  <sheetFormatPr defaultRowHeight="15" x14ac:dyDescent="0.2"/>
  <cols>
    <col min="2" max="5" width="25" customWidth="1"/>
    <col min="702" max="702" width="9.109375" hidden="1"/>
  </cols>
  <sheetData>
    <row r="8" spans="2:5" ht="32.1" customHeight="1" x14ac:dyDescent="0.2">
      <c r="B8" s="38" t="s">
        <v>1</v>
      </c>
      <c r="C8" s="39"/>
      <c r="D8" s="39"/>
      <c r="E8" s="39"/>
    </row>
    <row r="10" spans="2:5" ht="27.75" x14ac:dyDescent="0.2">
      <c r="B10" s="2" t="s">
        <v>2</v>
      </c>
    </row>
    <row r="12" spans="2:5" ht="409.6" customHeight="1" x14ac:dyDescent="0.2">
      <c r="B12" s="40" t="s">
        <v>3</v>
      </c>
      <c r="C12" s="40"/>
      <c r="D12" s="40"/>
      <c r="E12" s="40"/>
    </row>
    <row r="14" spans="2:5" ht="27.75" x14ac:dyDescent="0.2">
      <c r="B14" s="2" t="s">
        <v>4</v>
      </c>
    </row>
    <row r="16" spans="2:5" ht="15.95" customHeight="1" x14ac:dyDescent="0.2">
      <c r="B16" s="41" t="s">
        <v>5</v>
      </c>
      <c r="C16" s="39"/>
      <c r="D16" s="39"/>
      <c r="E16" s="39"/>
    </row>
    <row r="702" spans="702:702" x14ac:dyDescent="0.2">
      <c r="ZZ702" s="1" t="s">
        <v>0</v>
      </c>
    </row>
  </sheetData>
  <sheetProtection password="E36C" sheet="1" objects="1" scenarios="1" insertHyperlinks="0"/>
  <mergeCells count="3">
    <mergeCell ref="B8:E8"/>
    <mergeCell ref="B12:E12"/>
    <mergeCell ref="B16:E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F16"/>
  <sheetViews>
    <sheetView showRowColHeaders="0" tabSelected="1" workbookViewId="0">
      <pane ySplit="10" topLeftCell="A11" activePane="bottomLeft" state="frozen"/>
      <selection pane="bottomLeft" activeCell="C11" sqref="C11:C13"/>
    </sheetView>
  </sheetViews>
  <sheetFormatPr defaultRowHeight="15" x14ac:dyDescent="0.2"/>
  <cols>
    <col min="2" max="3" width="20" customWidth="1"/>
    <col min="4" max="4" width="9.109375" hidden="1"/>
    <col min="5" max="5" width="20" customWidth="1"/>
    <col min="6" max="6" width="2" customWidth="1"/>
    <col min="7" max="56" width="1" customWidth="1"/>
    <col min="57" max="57" width="2" customWidth="1"/>
    <col min="58" max="58" width="20" customWidth="1"/>
  </cols>
  <sheetData>
    <row r="2" spans="2:58" hidden="1" x14ac:dyDescent="0.2"/>
    <row r="3" spans="2:58" hidden="1" x14ac:dyDescent="0.2"/>
    <row r="4" spans="2:58" hidden="1" x14ac:dyDescent="0.2"/>
    <row r="5" spans="2:58" hidden="1" x14ac:dyDescent="0.2"/>
    <row r="6" spans="2:58" hidden="1" x14ac:dyDescent="0.2"/>
    <row r="7" spans="2:58" hidden="1" x14ac:dyDescent="0.2"/>
    <row r="8" spans="2:58" ht="27.75" x14ac:dyDescent="0.2">
      <c r="B8" s="2" t="s">
        <v>7</v>
      </c>
    </row>
    <row r="10" spans="2:58" ht="32.1" customHeight="1" x14ac:dyDescent="0.2">
      <c r="B10" s="5" t="s">
        <v>8</v>
      </c>
      <c r="C10" s="5" t="s">
        <v>9</v>
      </c>
      <c r="D10" s="5" t="s">
        <v>10</v>
      </c>
      <c r="E10" s="5" t="s">
        <v>11</v>
      </c>
      <c r="F10" s="47" t="s">
        <v>12</v>
      </c>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5" t="s">
        <v>13</v>
      </c>
    </row>
    <row r="11" spans="2:58" x14ac:dyDescent="0.2">
      <c r="B11" s="44">
        <v>1</v>
      </c>
      <c r="C11" s="45">
        <f>'1'!C33</f>
        <v>19</v>
      </c>
      <c r="D11" s="45"/>
      <c r="E11" s="45">
        <f ca="1">'1'!F33</f>
        <v>1</v>
      </c>
      <c r="F11" s="15"/>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20"/>
      <c r="BF11" s="46" t="str">
        <f ca="1">IF(E11= 1, "Complete: no errors",IF(COUNTIF(INDIRECT("'"&amp;B11:B13&amp;"'!H11:H12"),"*"&amp;"response"&amp;"*"),"Errors present","No errors"))</f>
        <v>Complete: no errors</v>
      </c>
    </row>
    <row r="12" spans="2:58" x14ac:dyDescent="0.2">
      <c r="B12" s="44"/>
      <c r="C12" s="45"/>
      <c r="D12" s="45"/>
      <c r="E12" s="45"/>
      <c r="F12" s="16"/>
      <c r="G12" s="23" t="b">
        <f ca="1">E11 &gt;= 0.02</f>
        <v>1</v>
      </c>
      <c r="H12" s="24" t="b">
        <f ca="1">E11 &gt;= 0.04</f>
        <v>1</v>
      </c>
      <c r="I12" s="24" t="b">
        <f ca="1">E11 &gt;= 0.06</f>
        <v>1</v>
      </c>
      <c r="J12" s="24" t="b">
        <f ca="1">E11 &gt;= 0.08</f>
        <v>1</v>
      </c>
      <c r="K12" s="24" t="b">
        <f ca="1">E11 &gt;= 0.1</f>
        <v>1</v>
      </c>
      <c r="L12" s="24" t="b">
        <f ca="1">E11 &gt;= 0.12</f>
        <v>1</v>
      </c>
      <c r="M12" s="24" t="b">
        <f ca="1">E11 &gt;= 0.14</f>
        <v>1</v>
      </c>
      <c r="N12" s="24" t="b">
        <f ca="1">E11 &gt;= 0.16</f>
        <v>1</v>
      </c>
      <c r="O12" s="24" t="b">
        <f ca="1">E11 &gt;= 0.18</f>
        <v>1</v>
      </c>
      <c r="P12" s="24" t="b">
        <f ca="1">E11 &gt;= 0.2</f>
        <v>1</v>
      </c>
      <c r="Q12" s="24" t="b">
        <f ca="1">E11 &gt;= 0.22</f>
        <v>1</v>
      </c>
      <c r="R12" s="24" t="b">
        <f ca="1">E11 &gt;= 0.24</f>
        <v>1</v>
      </c>
      <c r="S12" s="24" t="b">
        <f ca="1">E11 &gt;= 0.26</f>
        <v>1</v>
      </c>
      <c r="T12" s="24" t="b">
        <f ca="1">E11 &gt;= 0.28</f>
        <v>1</v>
      </c>
      <c r="U12" s="24" t="b">
        <f ca="1">E11 &gt;= 0.3</f>
        <v>1</v>
      </c>
      <c r="V12" s="24" t="b">
        <f ca="1">E11 &gt;= 0.32</f>
        <v>1</v>
      </c>
      <c r="W12" s="24" t="b">
        <f ca="1">E11 &gt;= 0.34</f>
        <v>1</v>
      </c>
      <c r="X12" s="24" t="b">
        <f ca="1">E11 &gt;= 0.36</f>
        <v>1</v>
      </c>
      <c r="Y12" s="24" t="b">
        <f ca="1">E11 &gt;= 0.38</f>
        <v>1</v>
      </c>
      <c r="Z12" s="24" t="b">
        <f ca="1">E11 &gt;= 0.4</f>
        <v>1</v>
      </c>
      <c r="AA12" s="24" t="b">
        <f ca="1">E11 &gt;= 0.42</f>
        <v>1</v>
      </c>
      <c r="AB12" s="24" t="b">
        <f ca="1">E11 &gt;= 0.44</f>
        <v>1</v>
      </c>
      <c r="AC12" s="24" t="b">
        <f ca="1">E11 &gt;= 0.46</f>
        <v>1</v>
      </c>
      <c r="AD12" s="24" t="b">
        <f ca="1">E11 &gt;= 0.48</f>
        <v>1</v>
      </c>
      <c r="AE12" s="24" t="b">
        <f ca="1">E11 &gt;= 0.5</f>
        <v>1</v>
      </c>
      <c r="AF12" s="24" t="b">
        <f ca="1">E11 &gt;= 0.52</f>
        <v>1</v>
      </c>
      <c r="AG12" s="24" t="b">
        <f ca="1">E11 &gt;= 0.54</f>
        <v>1</v>
      </c>
      <c r="AH12" s="24" t="b">
        <f ca="1">E11 &gt;= 0.56</f>
        <v>1</v>
      </c>
      <c r="AI12" s="24" t="b">
        <f ca="1">E11 &gt;= 0.58</f>
        <v>1</v>
      </c>
      <c r="AJ12" s="24" t="b">
        <f ca="1">E11 &gt;= 0.6</f>
        <v>1</v>
      </c>
      <c r="AK12" s="24" t="b">
        <f ca="1">E11 &gt;= 0.62</f>
        <v>1</v>
      </c>
      <c r="AL12" s="24" t="b">
        <f ca="1">E11 &gt;= 0.64</f>
        <v>1</v>
      </c>
      <c r="AM12" s="24" t="b">
        <f ca="1">E11 &gt;= 0.66</f>
        <v>1</v>
      </c>
      <c r="AN12" s="24" t="b">
        <f ca="1">E11 &gt;= 0.68</f>
        <v>1</v>
      </c>
      <c r="AO12" s="24" t="b">
        <f ca="1">E11 &gt;= 0.7</f>
        <v>1</v>
      </c>
      <c r="AP12" s="24" t="b">
        <f ca="1">E11 &gt;= 0.72</f>
        <v>1</v>
      </c>
      <c r="AQ12" s="24" t="b">
        <f ca="1">E11 &gt;= 0.74</f>
        <v>1</v>
      </c>
      <c r="AR12" s="24" t="b">
        <f ca="1">E11 &gt;= 0.76</f>
        <v>1</v>
      </c>
      <c r="AS12" s="24" t="b">
        <f ca="1">E11 &gt;= 0.78</f>
        <v>1</v>
      </c>
      <c r="AT12" s="24" t="b">
        <f ca="1">E11 &gt;= 0.8</f>
        <v>1</v>
      </c>
      <c r="AU12" s="24" t="b">
        <f ca="1">E11 &gt;= 0.82</f>
        <v>1</v>
      </c>
      <c r="AV12" s="24" t="b">
        <f ca="1">E11 &gt;= 0.84</f>
        <v>1</v>
      </c>
      <c r="AW12" s="24" t="b">
        <f ca="1">E11 &gt;= 0.86</f>
        <v>1</v>
      </c>
      <c r="AX12" s="24" t="b">
        <f ca="1">E11 &gt;= 0.88</f>
        <v>1</v>
      </c>
      <c r="AY12" s="24" t="b">
        <f ca="1">E11 &gt;= 0.9</f>
        <v>1</v>
      </c>
      <c r="AZ12" s="24" t="b">
        <f ca="1">E11 &gt;= 0.92</f>
        <v>1</v>
      </c>
      <c r="BA12" s="24" t="b">
        <f ca="1">E11 &gt;= 0.94</f>
        <v>1</v>
      </c>
      <c r="BB12" s="24" t="b">
        <f ca="1">E11 &gt;= 0.96</f>
        <v>1</v>
      </c>
      <c r="BC12" s="24" t="b">
        <f ca="1">E11 &gt;= 0.98</f>
        <v>1</v>
      </c>
      <c r="BD12" s="25" t="b">
        <f ca="1">E11 &gt;= 1</f>
        <v>1</v>
      </c>
      <c r="BE12" s="21"/>
      <c r="BF12" s="46"/>
    </row>
    <row r="13" spans="2:58" x14ac:dyDescent="0.2">
      <c r="B13" s="44"/>
      <c r="C13" s="45"/>
      <c r="D13" s="45"/>
      <c r="E13" s="45"/>
      <c r="F13" s="17"/>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22"/>
      <c r="BF13" s="46"/>
    </row>
    <row r="14" spans="2:58" ht="18" x14ac:dyDescent="0.2">
      <c r="B14" s="48" t="s">
        <v>6</v>
      </c>
      <c r="C14" s="50">
        <f>SUM(C11:C13)</f>
        <v>19</v>
      </c>
      <c r="D14" s="50"/>
      <c r="E14" s="50">
        <f ca="1">IF($C$14=0,1,SUMPRODUCT(C11:C13, E11:E13) / $C$14)</f>
        <v>1</v>
      </c>
      <c r="F14" s="27"/>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9"/>
      <c r="BF14" s="42"/>
    </row>
    <row r="15" spans="2:58" ht="18" x14ac:dyDescent="0.2">
      <c r="B15" s="49"/>
      <c r="C15" s="51"/>
      <c r="D15" s="51"/>
      <c r="E15" s="51"/>
      <c r="F15" s="30"/>
      <c r="G15" s="31" t="b">
        <f ca="1">E14 &gt;= 0.02</f>
        <v>1</v>
      </c>
      <c r="H15" s="32" t="b">
        <f ca="1">E14 &gt;= 0.04</f>
        <v>1</v>
      </c>
      <c r="I15" s="32" t="b">
        <f ca="1">E14 &gt;= 0.06</f>
        <v>1</v>
      </c>
      <c r="J15" s="32" t="b">
        <f ca="1">E14 &gt;= 0.08</f>
        <v>1</v>
      </c>
      <c r="K15" s="32" t="b">
        <f ca="1">E14 &gt;= 0.1</f>
        <v>1</v>
      </c>
      <c r="L15" s="32" t="b">
        <f ca="1">E14 &gt;= 0.12</f>
        <v>1</v>
      </c>
      <c r="M15" s="32" t="b">
        <f ca="1">E14 &gt;= 0.14</f>
        <v>1</v>
      </c>
      <c r="N15" s="32" t="b">
        <f ca="1">E14 &gt;= 0.16</f>
        <v>1</v>
      </c>
      <c r="O15" s="32" t="b">
        <f ca="1">E14 &gt;= 0.18</f>
        <v>1</v>
      </c>
      <c r="P15" s="32" t="b">
        <f ca="1">E14 &gt;= 0.2</f>
        <v>1</v>
      </c>
      <c r="Q15" s="32" t="b">
        <f ca="1">E14 &gt;= 0.22</f>
        <v>1</v>
      </c>
      <c r="R15" s="32" t="b">
        <f ca="1">E14 &gt;= 0.24</f>
        <v>1</v>
      </c>
      <c r="S15" s="32" t="b">
        <f ca="1">E14 &gt;= 0.26</f>
        <v>1</v>
      </c>
      <c r="T15" s="32" t="b">
        <f ca="1">E14 &gt;= 0.28</f>
        <v>1</v>
      </c>
      <c r="U15" s="32" t="b">
        <f ca="1">E14 &gt;= 0.3</f>
        <v>1</v>
      </c>
      <c r="V15" s="32" t="b">
        <f ca="1">E14 &gt;= 0.32</f>
        <v>1</v>
      </c>
      <c r="W15" s="32" t="b">
        <f ca="1">E14 &gt;= 0.34</f>
        <v>1</v>
      </c>
      <c r="X15" s="32" t="b">
        <f ca="1">E14 &gt;= 0.36</f>
        <v>1</v>
      </c>
      <c r="Y15" s="32" t="b">
        <f ca="1">E14 &gt;= 0.38</f>
        <v>1</v>
      </c>
      <c r="Z15" s="32" t="b">
        <f ca="1">E14 &gt;= 0.4</f>
        <v>1</v>
      </c>
      <c r="AA15" s="32" t="b">
        <f ca="1">E14 &gt;= 0.42</f>
        <v>1</v>
      </c>
      <c r="AB15" s="32" t="b">
        <f ca="1">E14 &gt;= 0.44</f>
        <v>1</v>
      </c>
      <c r="AC15" s="32" t="b">
        <f ca="1">E14 &gt;= 0.46</f>
        <v>1</v>
      </c>
      <c r="AD15" s="32" t="b">
        <f ca="1">E14 &gt;= 0.48</f>
        <v>1</v>
      </c>
      <c r="AE15" s="32" t="b">
        <f ca="1">E14 &gt;= 0.5</f>
        <v>1</v>
      </c>
      <c r="AF15" s="32" t="b">
        <f ca="1">E14 &gt;= 0.52</f>
        <v>1</v>
      </c>
      <c r="AG15" s="32" t="b">
        <f ca="1">E14 &gt;= 0.54</f>
        <v>1</v>
      </c>
      <c r="AH15" s="32" t="b">
        <f ca="1">E14 &gt;= 0.56</f>
        <v>1</v>
      </c>
      <c r="AI15" s="32" t="b">
        <f ca="1">E14 &gt;= 0.58</f>
        <v>1</v>
      </c>
      <c r="AJ15" s="32" t="b">
        <f ca="1">E14 &gt;= 0.6</f>
        <v>1</v>
      </c>
      <c r="AK15" s="32" t="b">
        <f ca="1">E14 &gt;= 0.62</f>
        <v>1</v>
      </c>
      <c r="AL15" s="32" t="b">
        <f ca="1">E14 &gt;= 0.64</f>
        <v>1</v>
      </c>
      <c r="AM15" s="32" t="b">
        <f ca="1">E14 &gt;= 0.66</f>
        <v>1</v>
      </c>
      <c r="AN15" s="32" t="b">
        <f ca="1">E14 &gt;= 0.68</f>
        <v>1</v>
      </c>
      <c r="AO15" s="32" t="b">
        <f ca="1">E14 &gt;= 0.7</f>
        <v>1</v>
      </c>
      <c r="AP15" s="32" t="b">
        <f ca="1">E14 &gt;= 0.72</f>
        <v>1</v>
      </c>
      <c r="AQ15" s="32" t="b">
        <f ca="1">E14 &gt;= 0.74</f>
        <v>1</v>
      </c>
      <c r="AR15" s="32" t="b">
        <f ca="1">E14 &gt;= 0.76</f>
        <v>1</v>
      </c>
      <c r="AS15" s="32" t="b">
        <f ca="1">E14 &gt;= 0.78</f>
        <v>1</v>
      </c>
      <c r="AT15" s="32" t="b">
        <f ca="1">E14 &gt;= 0.8</f>
        <v>1</v>
      </c>
      <c r="AU15" s="32" t="b">
        <f ca="1">E14 &gt;= 0.82</f>
        <v>1</v>
      </c>
      <c r="AV15" s="32" t="b">
        <f ca="1">E14 &gt;= 0.84</f>
        <v>1</v>
      </c>
      <c r="AW15" s="32" t="b">
        <f ca="1">E14 &gt;= 0.86</f>
        <v>1</v>
      </c>
      <c r="AX15" s="32" t="b">
        <f ca="1">E14 &gt;= 0.88</f>
        <v>1</v>
      </c>
      <c r="AY15" s="32" t="b">
        <f ca="1">E14 &gt;= 0.9</f>
        <v>1</v>
      </c>
      <c r="AZ15" s="32" t="b">
        <f ca="1">E14 &gt;= 0.92</f>
        <v>1</v>
      </c>
      <c r="BA15" s="32" t="b">
        <f ca="1">E14 &gt;= 0.94</f>
        <v>1</v>
      </c>
      <c r="BB15" s="32" t="b">
        <f ca="1">E14 &gt;= 0.96</f>
        <v>1</v>
      </c>
      <c r="BC15" s="32" t="b">
        <f ca="1">E14 &gt;= 0.98</f>
        <v>1</v>
      </c>
      <c r="BD15" s="33" t="b">
        <f ca="1">E14 &gt;= 1</f>
        <v>1</v>
      </c>
      <c r="BE15" s="34"/>
      <c r="BF15" s="43"/>
    </row>
    <row r="16" spans="2:58" ht="18" x14ac:dyDescent="0.2">
      <c r="B16" s="49"/>
      <c r="C16" s="51"/>
      <c r="D16" s="51"/>
      <c r="E16" s="51"/>
      <c r="F16" s="35"/>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7"/>
      <c r="BF16" s="43"/>
    </row>
  </sheetData>
  <sheetProtection password="E36C" sheet="1" objects="1" scenarios="1" insertHyperlinks="0"/>
  <mergeCells count="11">
    <mergeCell ref="F10:BE10"/>
    <mergeCell ref="B14:B16"/>
    <mergeCell ref="C14:C16"/>
    <mergeCell ref="D14:D16"/>
    <mergeCell ref="E14:E16"/>
    <mergeCell ref="BF14:BF16"/>
    <mergeCell ref="B11:B13"/>
    <mergeCell ref="C11:C13"/>
    <mergeCell ref="D11:D13"/>
    <mergeCell ref="E11:E13"/>
    <mergeCell ref="BF11:BF13"/>
  </mergeCells>
  <conditionalFormatting sqref="B11:BF13">
    <cfRule type="expression" dxfId="19" priority="8">
      <formula>OR(IF(ISNUMBER($B11),MOD($B11,2)=1,FALSE),IF(ISNUMBER($B10),MOD($B10,2)=1,FALSE),IF(ISNUMBER($B9),MOD($B9,2)=1,FALSE))</formula>
    </cfRule>
  </conditionalFormatting>
  <conditionalFormatting sqref="E11:E16">
    <cfRule type="expression" dxfId="18" priority="5">
      <formula>TRUE</formula>
    </cfRule>
  </conditionalFormatting>
  <conditionalFormatting sqref="G12:BD12">
    <cfRule type="expression" dxfId="17" priority="1">
      <formula>G$12</formula>
    </cfRule>
    <cfRule type="expression" dxfId="16" priority="2">
      <formula>NOT(G$12)</formula>
    </cfRule>
  </conditionalFormatting>
  <conditionalFormatting sqref="G15:BD15">
    <cfRule type="expression" dxfId="15" priority="3">
      <formula>G$15</formula>
    </cfRule>
    <cfRule type="expression" dxfId="14" priority="4">
      <formula>NOT(G$15)</formula>
    </cfRule>
  </conditionalFormatting>
  <conditionalFormatting sqref="BF11:BF13">
    <cfRule type="expression" dxfId="13" priority="6">
      <formula>$BF11 ="Complete: no errors"</formula>
    </cfRule>
    <cfRule type="expression" dxfId="12" priority="7">
      <formula>$BF11 = "Errors present"</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33"/>
  <sheetViews>
    <sheetView showRowColHeaders="0" workbookViewId="0">
      <pane ySplit="10" topLeftCell="A28" activePane="bottomLeft" state="frozen"/>
      <selection pane="bottomLeft" activeCell="G32" sqref="G32"/>
    </sheetView>
  </sheetViews>
  <sheetFormatPr defaultRowHeight="15" x14ac:dyDescent="0.2"/>
  <cols>
    <col min="2" max="2" width="9.109375" hidden="1"/>
    <col min="3" max="3" width="10" customWidth="1"/>
    <col min="4" max="4" width="66" customWidth="1"/>
    <col min="5" max="5" width="9.109375" hidden="1"/>
    <col min="6" max="6" width="25" customWidth="1"/>
    <col min="7" max="7" width="66" customWidth="1"/>
    <col min="8" max="8" width="40" customWidth="1"/>
    <col min="9" max="9" width="9.109375" hidden="1"/>
  </cols>
  <sheetData>
    <row r="2" spans="2:9" ht="27.75" x14ac:dyDescent="0.2">
      <c r="C2" s="2" t="s">
        <v>14</v>
      </c>
    </row>
    <row r="3" spans="2:9" hidden="1" x14ac:dyDescent="0.2"/>
    <row r="4" spans="2:9" hidden="1" x14ac:dyDescent="0.2"/>
    <row r="5" spans="2:9" hidden="1" x14ac:dyDescent="0.2"/>
    <row r="6" spans="2:9" hidden="1" x14ac:dyDescent="0.2"/>
    <row r="7" spans="2:9" hidden="1" x14ac:dyDescent="0.2"/>
    <row r="8" spans="2:9" hidden="1" x14ac:dyDescent="0.2"/>
    <row r="10" spans="2:9" ht="32.1" customHeight="1" x14ac:dyDescent="0.2">
      <c r="C10" s="5" t="s">
        <v>15</v>
      </c>
      <c r="D10" s="5" t="s">
        <v>16</v>
      </c>
      <c r="E10" s="5" t="s">
        <v>10</v>
      </c>
      <c r="F10" s="6" t="s">
        <v>17</v>
      </c>
      <c r="G10" s="6" t="s">
        <v>18</v>
      </c>
      <c r="H10" s="6" t="s">
        <v>19</v>
      </c>
      <c r="I10" t="s">
        <v>10</v>
      </c>
    </row>
    <row r="11" spans="2:9" ht="20.100000000000001" customHeight="1" x14ac:dyDescent="0.2">
      <c r="B11" s="1"/>
      <c r="C11" s="52" t="s">
        <v>20</v>
      </c>
      <c r="D11" s="53"/>
      <c r="E11" s="54"/>
      <c r="F11" s="9"/>
      <c r="G11" s="10"/>
      <c r="H11" s="14" t="str">
        <f>IF(AND(ISBLANK(F11),ISBLANK(G11)),"?", "Anything entered in this row will be ignored")</f>
        <v>?</v>
      </c>
      <c r="I11" s="1">
        <v>-1</v>
      </c>
    </row>
    <row r="12" spans="2:9" ht="195" x14ac:dyDescent="0.2">
      <c r="B12" s="1">
        <v>1257726</v>
      </c>
      <c r="C12" s="3" t="s">
        <v>21</v>
      </c>
      <c r="D12" s="13" t="s">
        <v>22</v>
      </c>
      <c r="E12" s="4"/>
      <c r="F12" s="7" t="s">
        <v>62</v>
      </c>
      <c r="G12" s="8" t="s">
        <v>78</v>
      </c>
      <c r="H12" s="14" t="str">
        <f ca="1">IF(AND(ISNA(MATCH(OFFSET($H12,0,-2)&amp;"",responseOption0,0)),NOT(TRIM(OFFSET($H12,0,-2)) = "")),"Response must be one of "&amp;INDEX(responseValidationRulesGroup0,4,1),IF(AND(IF(ISNA(INDEX(responseValidationRulesGroup0,MATCH(OFFSET($H12,0,-2)&amp;"",responseOption0,0),2)),FALSE,INDEX(responseValidationRulesGroup0,MATCH(OFFSET($H12,0,-2)&amp;"",responseOption0,0),2)),TRIM(OFFSET($H12,0,-1)) = ""),"A comment is required for this response",IF(IF(ISNA(INDEX(responseValidationRulesGroup0,MATCH(OFFSET($H12,0,-2)&amp;"",responseOption0,0),3)),FALSE,INDEX(responseValidationRulesGroup0,MATCH(OFFSET($H12,0,-2)&amp;"",responseOption0,0),3)),IF(TRIM(OFFSET($H12,0,-1)) = "","Complete","The comment must be left blank for this response"),IF(TRIM(OFFSET($H12,0,-2))="","Incomplete", "Complete"))))</f>
        <v>Complete</v>
      </c>
      <c r="I12" s="1">
        <v>1</v>
      </c>
    </row>
    <row r="13" spans="2:9" ht="135" x14ac:dyDescent="0.2">
      <c r="B13" s="1">
        <v>1257730</v>
      </c>
      <c r="C13" s="3" t="s">
        <v>23</v>
      </c>
      <c r="D13" s="13" t="s">
        <v>24</v>
      </c>
      <c r="E13" s="4"/>
      <c r="F13" s="7" t="s">
        <v>79</v>
      </c>
      <c r="G13" s="8"/>
      <c r="H13" s="14" t="str">
        <f ca="1">IF(AND(
            OR(OFFSET($H13,0,-2) = "-",OFFSET($H13,0,-2) = ""),OFFSET($H13,0,-1) = ""),"Incomplete","Complete")</f>
        <v>Complete</v>
      </c>
      <c r="I13" s="1">
        <v>0</v>
      </c>
    </row>
    <row r="14" spans="2:9" ht="60" x14ac:dyDescent="0.2">
      <c r="B14" s="1">
        <v>1257731</v>
      </c>
      <c r="C14" s="3" t="s">
        <v>25</v>
      </c>
      <c r="D14" s="13" t="s">
        <v>26</v>
      </c>
      <c r="E14" s="4"/>
      <c r="F14" s="7" t="s">
        <v>80</v>
      </c>
      <c r="G14" s="8"/>
      <c r="H14" s="14" t="str">
        <f ca="1">IF(AND(
            OR(OFFSET($H14,0,-2) = "-",OFFSET($H14,0,-2) = ""),OFFSET($H14,0,-1) = ""),"Incomplete","Complete")</f>
        <v>Complete</v>
      </c>
      <c r="I14" s="1">
        <v>1</v>
      </c>
    </row>
    <row r="15" spans="2:9" ht="150" x14ac:dyDescent="0.2">
      <c r="B15" s="1">
        <v>1254674</v>
      </c>
      <c r="C15" s="3" t="s">
        <v>27</v>
      </c>
      <c r="D15" s="13" t="s">
        <v>28</v>
      </c>
      <c r="E15" s="4"/>
      <c r="F15" s="7" t="s">
        <v>81</v>
      </c>
      <c r="G15" s="8"/>
      <c r="H15" s="14" t="str">
        <f ca="1">IF(AND(
            OR(OFFSET($H15,0,-2) = "-",OFFSET($H15,0,-2) = ""),OFFSET($H15,0,-1) = ""),"Incomplete","Complete")</f>
        <v>Complete</v>
      </c>
      <c r="I15" s="1">
        <v>0</v>
      </c>
    </row>
    <row r="16" spans="2:9" ht="20.100000000000001" customHeight="1" x14ac:dyDescent="0.2">
      <c r="B16" s="1"/>
      <c r="C16" s="52" t="s">
        <v>29</v>
      </c>
      <c r="D16" s="53"/>
      <c r="E16" s="54"/>
      <c r="F16" s="9"/>
      <c r="G16" s="10"/>
      <c r="H16" s="14" t="str">
        <f>IF(AND(ISBLANK(F16),ISBLANK(G16)),"?", "Anything entered in this row will be ignored")</f>
        <v>?</v>
      </c>
      <c r="I16" s="1">
        <v>-1</v>
      </c>
    </row>
    <row r="17" spans="2:9" ht="409.5" x14ac:dyDescent="0.2">
      <c r="B17" s="1">
        <v>1257715</v>
      </c>
      <c r="C17" s="3" t="s">
        <v>30</v>
      </c>
      <c r="D17" s="13" t="s">
        <v>31</v>
      </c>
      <c r="E17" s="4"/>
      <c r="F17" s="7" t="s">
        <v>82</v>
      </c>
      <c r="G17" s="8"/>
      <c r="H17" s="14" t="str">
        <f ca="1">IF(AND(
            OR(OFFSET($H17,0,-2) = "-",OFFSET($H17,0,-2) = ""),OFFSET($H17,0,-1) = ""),"Incomplete","Complete")</f>
        <v>Complete</v>
      </c>
      <c r="I17" s="1">
        <v>1</v>
      </c>
    </row>
    <row r="18" spans="2:9" ht="20.100000000000001" customHeight="1" x14ac:dyDescent="0.2">
      <c r="B18" s="1"/>
      <c r="C18" s="52" t="s">
        <v>32</v>
      </c>
      <c r="D18" s="53"/>
      <c r="E18" s="54"/>
      <c r="F18" s="9"/>
      <c r="G18" s="10"/>
      <c r="H18" s="14" t="str">
        <f>IF(AND(ISBLANK(F18),ISBLANK(G18)),"?", "Anything entered in this row will be ignored")</f>
        <v>?</v>
      </c>
      <c r="I18" s="1">
        <v>-1</v>
      </c>
    </row>
    <row r="19" spans="2:9" ht="45" x14ac:dyDescent="0.2">
      <c r="B19" s="1">
        <v>1257733</v>
      </c>
      <c r="C19" s="3" t="s">
        <v>33</v>
      </c>
      <c r="D19" s="13" t="s">
        <v>34</v>
      </c>
      <c r="E19" s="4"/>
      <c r="F19" s="7" t="s">
        <v>65</v>
      </c>
      <c r="G19" s="8"/>
      <c r="H19" s="14" t="str">
        <f ca="1">IF(AND(ISNA(MATCH(OFFSET($H19,0,-2)&amp;"",responseOption1,0)),NOT(TRIM(OFFSET($H19,0,-2)) = "")),"Response must be one of "&amp;INDEX(responseValidationRulesGroup1,3,1),IF(AND(IF(ISNA(INDEX(responseValidationRulesGroup1,MATCH(OFFSET($H19,0,-2)&amp;"",responseOption1,0),2)),FALSE,INDEX(responseValidationRulesGroup1,MATCH(OFFSET($H19,0,-2)&amp;"",responseOption1,0),2)),TRIM(OFFSET($H19,0,-1)) = ""),"A comment is required for this response",IF(IF(ISNA(INDEX(responseValidationRulesGroup1,MATCH(OFFSET($H19,0,-2)&amp;"",responseOption1,0),3)),FALSE,INDEX(responseValidationRulesGroup1,MATCH(OFFSET($H19,0,-2)&amp;"",responseOption1,0),3)),IF(TRIM(OFFSET($H19,0,-1)) = "","Complete","The comment must be left blank for this response"),IF(TRIM(OFFSET($H19,0,-2))="","Incomplete", "Complete"))))</f>
        <v>Complete</v>
      </c>
      <c r="I19" s="1">
        <v>1</v>
      </c>
    </row>
    <row r="20" spans="2:9" ht="45" x14ac:dyDescent="0.2">
      <c r="B20" s="1">
        <v>1257734</v>
      </c>
      <c r="C20" s="3" t="s">
        <v>35</v>
      </c>
      <c r="D20" s="13" t="s">
        <v>36</v>
      </c>
      <c r="E20" s="4"/>
      <c r="F20" s="7" t="s">
        <v>65</v>
      </c>
      <c r="G20" s="8"/>
      <c r="H20" s="14" t="str">
        <f ca="1">IF(AND(ISNA(MATCH(OFFSET($H20,0,-2)&amp;"",responseOption1,0)),NOT(TRIM(OFFSET($H20,0,-2)) = "")),"Response must be one of "&amp;INDEX(responseValidationRulesGroup1,3,1),IF(AND(IF(ISNA(INDEX(responseValidationRulesGroup1,MATCH(OFFSET($H20,0,-2)&amp;"",responseOption1,0),2)),FALSE,INDEX(responseValidationRulesGroup1,MATCH(OFFSET($H20,0,-2)&amp;"",responseOption1,0),2)),TRIM(OFFSET($H20,0,-1)) = ""),"A comment is required for this response",IF(IF(ISNA(INDEX(responseValidationRulesGroup1,MATCH(OFFSET($H20,0,-2)&amp;"",responseOption1,0),3)),FALSE,INDEX(responseValidationRulesGroup1,MATCH(OFFSET($H20,0,-2)&amp;"",responseOption1,0),3)),IF(TRIM(OFFSET($H20,0,-1)) = "","Complete","The comment must be left blank for this response"),IF(TRIM(OFFSET($H20,0,-2))="","Incomplete", "Complete"))))</f>
        <v>Complete</v>
      </c>
      <c r="I20" s="1">
        <v>0</v>
      </c>
    </row>
    <row r="21" spans="2:9" ht="60" x14ac:dyDescent="0.2">
      <c r="B21" s="1">
        <v>1257738</v>
      </c>
      <c r="C21" s="3" t="s">
        <v>37</v>
      </c>
      <c r="D21" s="13" t="s">
        <v>38</v>
      </c>
      <c r="E21" s="4"/>
      <c r="F21" s="7" t="s">
        <v>68</v>
      </c>
      <c r="G21" s="8" t="s">
        <v>83</v>
      </c>
      <c r="H21" s="14" t="str">
        <f ca="1">IF(AND(ISNA(MATCH(OFFSET($H21,0,-2)&amp;"",responseOption2,0)),NOT(TRIM(OFFSET($H21,0,-2)) = "")),"Response must be one of "&amp;INDEX(responseValidationRulesGroup2,3,1),IF(AND(IF(ISNA(INDEX(responseValidationRulesGroup2,MATCH(OFFSET($H21,0,-2)&amp;"",responseOption2,0),2)),FALSE,INDEX(responseValidationRulesGroup2,MATCH(OFFSET($H21,0,-2)&amp;"",responseOption2,0),2)),TRIM(OFFSET($H21,0,-1)) = ""),"A comment is required for this response",IF(IF(ISNA(INDEX(responseValidationRulesGroup2,MATCH(OFFSET($H21,0,-2)&amp;"",responseOption2,0),3)),FALSE,INDEX(responseValidationRulesGroup2,MATCH(OFFSET($H21,0,-2)&amp;"",responseOption2,0),3)),IF(TRIM(OFFSET($H21,0,-1)) = "","Complete","The comment must be left blank for this response"),IF(TRIM(OFFSET($H21,0,-2))="","Incomplete", "Complete"))))</f>
        <v>Complete</v>
      </c>
      <c r="I21" s="1">
        <v>1</v>
      </c>
    </row>
    <row r="22" spans="2:9" ht="45" x14ac:dyDescent="0.2">
      <c r="B22" s="1">
        <v>1257740</v>
      </c>
      <c r="C22" s="3" t="s">
        <v>39</v>
      </c>
      <c r="D22" s="13" t="s">
        <v>40</v>
      </c>
      <c r="E22" s="4"/>
      <c r="F22" s="7" t="s">
        <v>70</v>
      </c>
      <c r="G22" s="8" t="s">
        <v>84</v>
      </c>
      <c r="H22" s="14" t="str">
        <f ca="1">IF(AND(ISNA(MATCH(OFFSET($H22,0,-2)&amp;"",responseOption3,0)),NOT(TRIM(OFFSET($H22,0,-2)) = "")),"Response must be one of "&amp;INDEX(responseValidationRulesGroup3,3,1),IF(AND(IF(ISNA(INDEX(responseValidationRulesGroup3,MATCH(OFFSET($H22,0,-2)&amp;"",responseOption3,0),2)),FALSE,INDEX(responseValidationRulesGroup3,MATCH(OFFSET($H22,0,-2)&amp;"",responseOption3,0),2)),TRIM(OFFSET($H22,0,-1)) = ""),"A comment is required for this response",IF(IF(ISNA(INDEX(responseValidationRulesGroup3,MATCH(OFFSET($H22,0,-2)&amp;"",responseOption3,0),3)),FALSE,INDEX(responseValidationRulesGroup3,MATCH(OFFSET($H22,0,-2)&amp;"",responseOption3,0),3)),IF(TRIM(OFFSET($H22,0,-1)) = "","Complete","The comment must be left blank for this response"),IF(TRIM(OFFSET($H22,0,-2))="","Incomplete", "Complete"))))</f>
        <v>Complete</v>
      </c>
      <c r="I22" s="1">
        <v>0</v>
      </c>
    </row>
    <row r="23" spans="2:9" ht="60" x14ac:dyDescent="0.2">
      <c r="B23" s="1">
        <v>1258124</v>
      </c>
      <c r="C23" s="3" t="s">
        <v>41</v>
      </c>
      <c r="D23" s="13" t="s">
        <v>42</v>
      </c>
      <c r="E23" s="4"/>
      <c r="F23" s="7" t="s">
        <v>72</v>
      </c>
      <c r="G23" s="8" t="s">
        <v>85</v>
      </c>
      <c r="H23" s="14" t="str">
        <f ca="1">IF(AND(ISNA(MATCH(OFFSET($H23,0,-2)&amp;"",responseOption4,0)),NOT(TRIM(OFFSET($H23,0,-2)) = "")),"Response must be one of "&amp;INDEX(responseValidationRulesGroup4,3,1),IF(AND(IF(ISNA(INDEX(responseValidationRulesGroup4,MATCH(OFFSET($H23,0,-2)&amp;"",responseOption4,0),2)),FALSE,INDEX(responseValidationRulesGroup4,MATCH(OFFSET($H23,0,-2)&amp;"",responseOption4,0),2)),TRIM(OFFSET($H23,0,-1)) = ""),"A comment is required for this response",IF(IF(ISNA(INDEX(responseValidationRulesGroup4,MATCH(OFFSET($H23,0,-2)&amp;"",responseOption4,0),3)),FALSE,INDEX(responseValidationRulesGroup4,MATCH(OFFSET($H23,0,-2)&amp;"",responseOption4,0),3)),IF(TRIM(OFFSET($H23,0,-1)) = "","Complete","The comment must be left blank for this response"),IF(TRIM(OFFSET($H23,0,-2))="","Incomplete", "Complete"))))</f>
        <v>Complete</v>
      </c>
      <c r="I23" s="1">
        <v>1</v>
      </c>
    </row>
    <row r="24" spans="2:9" ht="105" x14ac:dyDescent="0.2">
      <c r="B24" s="1">
        <v>1258128</v>
      </c>
      <c r="C24" s="3" t="s">
        <v>43</v>
      </c>
      <c r="D24" s="13" t="s">
        <v>44</v>
      </c>
      <c r="E24" s="4"/>
      <c r="F24" s="7" t="s">
        <v>86</v>
      </c>
      <c r="G24" s="8"/>
      <c r="H24" s="14" t="str">
        <f ca="1">IF(AND(
            OR(OFFSET($H24,0,-2) = "-",OFFSET($H24,0,-2) = ""),OFFSET($H24,0,-1) = ""),"Incomplete","Complete")</f>
        <v>Complete</v>
      </c>
      <c r="I24" s="1">
        <v>0</v>
      </c>
    </row>
    <row r="25" spans="2:9" ht="60" x14ac:dyDescent="0.2">
      <c r="B25" s="1">
        <v>1258129</v>
      </c>
      <c r="C25" s="3" t="s">
        <v>45</v>
      </c>
      <c r="D25" s="13" t="s">
        <v>46</v>
      </c>
      <c r="E25" s="4"/>
      <c r="F25" s="7" t="s">
        <v>87</v>
      </c>
      <c r="G25" s="8"/>
      <c r="H25" s="14" t="str">
        <f ca="1">IF(AND(
            OR(OFFSET($H25,0,-2) = "-",OFFSET($H25,0,-2) = ""),OFFSET($H25,0,-1) = ""),"Incomplete","Complete")</f>
        <v>Complete</v>
      </c>
      <c r="I25" s="1">
        <v>1</v>
      </c>
    </row>
    <row r="26" spans="2:9" ht="60" x14ac:dyDescent="0.2">
      <c r="B26" s="1">
        <v>1258132</v>
      </c>
      <c r="C26" s="3" t="s">
        <v>47</v>
      </c>
      <c r="D26" s="13" t="s">
        <v>48</v>
      </c>
      <c r="E26" s="4"/>
      <c r="F26" s="7" t="s">
        <v>66</v>
      </c>
      <c r="G26" s="8"/>
      <c r="H26" s="14" t="str">
        <f ca="1">IF(AND(ISNA(MATCH(OFFSET($H26,0,-2)&amp;"",responseOption5,0)),NOT(TRIM(OFFSET($H26,0,-2)) = "")),"Response must be one of "&amp;INDEX(responseValidationRulesGroup5,3,1),IF(AND(IF(ISNA(INDEX(responseValidationRulesGroup5,MATCH(OFFSET($H26,0,-2)&amp;"",responseOption5,0),2)),FALSE,INDEX(responseValidationRulesGroup5,MATCH(OFFSET($H26,0,-2)&amp;"",responseOption5,0),2)),TRIM(OFFSET($H26,0,-1)) = ""),"A comment is required for this response",IF(IF(ISNA(INDEX(responseValidationRulesGroup5,MATCH(OFFSET($H26,0,-2)&amp;"",responseOption5,0),3)),FALSE,INDEX(responseValidationRulesGroup5,MATCH(OFFSET($H26,0,-2)&amp;"",responseOption5,0),3)),IF(TRIM(OFFSET($H26,0,-1)) = "","Complete","The comment must be left blank for this response"),IF(TRIM(OFFSET($H26,0,-2))="","Incomplete", "Complete"))))</f>
        <v>Complete</v>
      </c>
      <c r="I26" s="1">
        <v>0</v>
      </c>
    </row>
    <row r="27" spans="2:9" ht="75" x14ac:dyDescent="0.2">
      <c r="B27" s="1">
        <v>1258137</v>
      </c>
      <c r="C27" s="3" t="s">
        <v>49</v>
      </c>
      <c r="D27" s="13" t="s">
        <v>50</v>
      </c>
      <c r="E27" s="4"/>
      <c r="F27" s="7" t="s">
        <v>88</v>
      </c>
      <c r="G27" s="8"/>
      <c r="H27" s="14" t="str">
        <f ca="1">IF(AND(
            OR(OFFSET($H27,0,-2) = "-",OFFSET($H27,0,-2) = ""),OFFSET($H27,0,-1) = ""),"Incomplete","Complete")</f>
        <v>Complete</v>
      </c>
      <c r="I27" s="1">
        <v>1</v>
      </c>
    </row>
    <row r="28" spans="2:9" ht="150" x14ac:dyDescent="0.2">
      <c r="B28" s="1">
        <v>1258139</v>
      </c>
      <c r="C28" s="3" t="s">
        <v>51</v>
      </c>
      <c r="D28" s="13" t="s">
        <v>52</v>
      </c>
      <c r="E28" s="4"/>
      <c r="F28" s="7" t="s">
        <v>89</v>
      </c>
      <c r="G28" s="8"/>
      <c r="H28" s="14" t="str">
        <f ca="1">IF(AND(
            OR(OFFSET($H28,0,-2) = "-",OFFSET($H28,0,-2) = ""),OFFSET($H28,0,-1) = ""),"Incomplete","Complete")</f>
        <v>Complete</v>
      </c>
      <c r="I28" s="1">
        <v>0</v>
      </c>
    </row>
    <row r="29" spans="2:9" ht="105" x14ac:dyDescent="0.2">
      <c r="B29" s="1">
        <v>1258141</v>
      </c>
      <c r="C29" s="3" t="s">
        <v>53</v>
      </c>
      <c r="D29" s="13" t="s">
        <v>54</v>
      </c>
      <c r="E29" s="4"/>
      <c r="F29" s="7" t="s">
        <v>90</v>
      </c>
      <c r="G29" s="8"/>
      <c r="H29" s="14" t="str">
        <f ca="1">IF(AND(
            OR(OFFSET($H29,0,-2) = "-",OFFSET($H29,0,-2) = ""),OFFSET($H29,0,-1) = ""),"Incomplete","Complete")</f>
        <v>Complete</v>
      </c>
      <c r="I29" s="1">
        <v>1</v>
      </c>
    </row>
    <row r="30" spans="2:9" ht="75" x14ac:dyDescent="0.2">
      <c r="B30" s="1">
        <v>1363343</v>
      </c>
      <c r="C30" s="3" t="s">
        <v>55</v>
      </c>
      <c r="D30" s="13" t="s">
        <v>56</v>
      </c>
      <c r="E30" s="4"/>
      <c r="F30" s="7" t="s">
        <v>91</v>
      </c>
      <c r="G30" s="8"/>
      <c r="H30" s="14" t="str">
        <f ca="1">IF(AND(
            OR(OFFSET($H30,0,-2) = "-",OFFSET($H30,0,-2) = ""),OFFSET($H30,0,-1) = ""),"Incomplete","Complete")</f>
        <v>Complete</v>
      </c>
      <c r="I30" s="1">
        <v>0</v>
      </c>
    </row>
    <row r="31" spans="2:9" ht="45" x14ac:dyDescent="0.2">
      <c r="B31" s="1">
        <v>1363448</v>
      </c>
      <c r="C31" s="3" t="s">
        <v>57</v>
      </c>
      <c r="D31" s="13" t="s">
        <v>58</v>
      </c>
      <c r="E31" s="4"/>
      <c r="F31" s="7" t="s">
        <v>65</v>
      </c>
      <c r="G31" s="8"/>
      <c r="H31" s="14" t="str">
        <f ca="1">IF(AND(ISNA(MATCH(OFFSET($H31,0,-2)&amp;"",responseOption6,0)),NOT(TRIM(OFFSET($H31,0,-2)) = "")),"Response must be one of "&amp;INDEX(responseValidationRulesGroup6,3,1),IF(AND(IF(ISNA(INDEX(responseValidationRulesGroup6,MATCH(OFFSET($H31,0,-2)&amp;"",responseOption6,0),2)),FALSE,INDEX(responseValidationRulesGroup6,MATCH(OFFSET($H31,0,-2)&amp;"",responseOption6,0),2)),TRIM(OFFSET($H31,0,-1)) = ""),"A comment is required for this response",IF(IF(ISNA(INDEX(responseValidationRulesGroup6,MATCH(OFFSET($H31,0,-2)&amp;"",responseOption6,0),3)),FALSE,INDEX(responseValidationRulesGroup6,MATCH(OFFSET($H31,0,-2)&amp;"",responseOption6,0),3)),IF(TRIM(OFFSET($H31,0,-1)) = "","Complete","The comment must be left blank for this response"),IF(TRIM(OFFSET($H31,0,-2))="","Incomplete", "Complete"))))</f>
        <v>Complete</v>
      </c>
      <c r="I31" s="1">
        <v>1</v>
      </c>
    </row>
    <row r="32" spans="2:9" ht="75" x14ac:dyDescent="0.2">
      <c r="B32" s="1">
        <v>1258142</v>
      </c>
      <c r="C32" s="3" t="s">
        <v>59</v>
      </c>
      <c r="D32" s="13" t="s">
        <v>60</v>
      </c>
      <c r="E32" s="4"/>
      <c r="F32" s="7" t="s">
        <v>92</v>
      </c>
      <c r="G32" s="8"/>
      <c r="H32" s="14" t="str">
        <f ca="1">IF(AND(
            OR(OFFSET($H32,0,-2) = "-",OFFSET($H32,0,-2) = ""),OFFSET($H32,0,-1) = ""),"Incomplete","Complete")</f>
        <v>Complete</v>
      </c>
      <c r="I32" s="1">
        <v>0</v>
      </c>
    </row>
    <row r="33" spans="2:8" ht="27" customHeight="1" x14ac:dyDescent="0.2">
      <c r="B33">
        <v>-1</v>
      </c>
      <c r="C33" s="55">
        <f>COUNTIF(I11:I32,"&lt;&gt;-1")</f>
        <v>19</v>
      </c>
      <c r="D33" s="56"/>
      <c r="E33" s="12"/>
      <c r="F33" s="57">
        <f ca="1">IF(C33=0,1,(COUNTIF(H11:H32,TRUE)+COUNTIF(H11:H32,"Complete")) / (C33))</f>
        <v>1</v>
      </c>
      <c r="G33" s="56"/>
      <c r="H33" s="11"/>
    </row>
  </sheetData>
  <sheetProtection password="E36C" sheet="1" objects="1" scenarios="1" insertHyperlinks="0"/>
  <mergeCells count="5">
    <mergeCell ref="C11:E11"/>
    <mergeCell ref="C16:E16"/>
    <mergeCell ref="C18:E18"/>
    <mergeCell ref="C33:D33"/>
    <mergeCell ref="F33:G33"/>
  </mergeCells>
  <conditionalFormatting sqref="C11:G32">
    <cfRule type="expression" dxfId="11" priority="4">
      <formula>$I11=1</formula>
    </cfRule>
  </conditionalFormatting>
  <conditionalFormatting sqref="H11">
    <cfRule type="containsText" dxfId="10" priority="1" operator="containsText" text="~?">
      <formula>NOT(ISERROR(SEARCH("~?",H11)))</formula>
    </cfRule>
    <cfRule type="expression" dxfId="9" priority="5">
      <formula>$H11=""</formula>
    </cfRule>
  </conditionalFormatting>
  <conditionalFormatting sqref="H11:H32">
    <cfRule type="expression" dxfId="8" priority="8">
      <formula>$H11 ="Complete"</formula>
    </cfRule>
    <cfRule type="expression" dxfId="7" priority="9">
      <formula>$H11=1</formula>
    </cfRule>
    <cfRule type="expression" dxfId="6" priority="10">
      <formula>$H11</formula>
    </cfRule>
    <cfRule type="expression" dxfId="5" priority="11">
      <formula>AND(NOT(ISBLANK($H11)), NOT($H11))</formula>
    </cfRule>
    <cfRule type="expression" dxfId="4" priority="12">
      <formula>NOT(ISBLANK($H11))</formula>
    </cfRule>
  </conditionalFormatting>
  <conditionalFormatting sqref="H16">
    <cfRule type="containsText" dxfId="3" priority="2" operator="containsText" text="~?">
      <formula>NOT(ISERROR(SEARCH("~?",H16)))</formula>
    </cfRule>
    <cfRule type="expression" dxfId="2" priority="6">
      <formula>$H16=""</formula>
    </cfRule>
  </conditionalFormatting>
  <conditionalFormatting sqref="H18">
    <cfRule type="containsText" dxfId="1" priority="3" operator="containsText" text="~?">
      <formula>NOT(ISERROR(SEARCH("~?",H18)))</formula>
    </cfRule>
    <cfRule type="expression" dxfId="0" priority="7">
      <formula>$H18=""</formula>
    </cfRule>
  </conditionalFormatting>
  <dataValidations count="7">
    <dataValidation type="list" showErrorMessage="1" errorTitle="Error - Invalid Input" error="Please select an item from the drop-down list." sqref="F19:F20" xr:uid="{00000000-0002-0000-0200-000000000000}">
      <formula1>"Yes,No"</formula1>
    </dataValidation>
    <dataValidation type="list" showErrorMessage="1" errorTitle="Error - Invalid Input" error="Please select an item from the drop-down list." sqref="F26" xr:uid="{00000000-0002-0000-0200-000001000000}">
      <formula1>"Yes - Please explain why you failed to meet the deadline,No"</formula1>
    </dataValidation>
    <dataValidation type="list" showErrorMessage="1" errorTitle="Error - Invalid Input" error="Please select an item from the drop-down list." sqref="F21" xr:uid="{00000000-0002-0000-0200-000002000000}">
      <formula1>"Yes; what changed?,No"</formula1>
    </dataValidation>
    <dataValidation type="list" showErrorMessage="1" errorTitle="Error - Invalid Input" error="Please select an item from the drop-down list." sqref="F31" xr:uid="{00000000-0002-0000-0200-000003000000}">
      <formula1>"Yes,No - What positions are open &amp; why? How does this impact your services?"</formula1>
    </dataValidation>
    <dataValidation type="list" showErrorMessage="1" errorTitle="Error - Invalid Input" error="Please select an item from the drop-down list." sqref="F22" xr:uid="{00000000-0002-0000-0200-000004000000}">
      <formula1>"Yes; How much? From what source? Why was funding lost?,No"</formula1>
    </dataValidation>
    <dataValidation type="list" showErrorMessage="1" errorTitle="Error - Invalid Input" error="Please select an item from the drop-down list." sqref="F23" xr:uid="{00000000-0002-0000-0200-000005000000}">
      <formula1>"Yes - Please list source(s) and amount(s).,No"</formula1>
    </dataValidation>
    <dataValidation type="list" showErrorMessage="1" errorTitle="Error - Invalid Input" error="Please select an item from the drop-down list." sqref="F12" xr:uid="{00000000-0002-0000-0200-000006000000}">
      <formula1>"Medical Services,Core Social Services,Quality of Life Improvement Services"</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4"/>
  <sheetViews>
    <sheetView workbookViewId="0">
      <selection sqref="A1:U4"/>
    </sheetView>
  </sheetViews>
  <sheetFormatPr defaultRowHeight="15" x14ac:dyDescent="0.2"/>
  <sheetData>
    <row r="1" spans="1:21" x14ac:dyDescent="0.2">
      <c r="A1" s="26" t="s">
        <v>61</v>
      </c>
      <c r="B1" s="1" t="b">
        <f>FALSE()</f>
        <v>0</v>
      </c>
      <c r="C1" s="1" t="b">
        <f>FALSE()</f>
        <v>0</v>
      </c>
      <c r="D1" s="26" t="s">
        <v>65</v>
      </c>
      <c r="E1" s="1" t="b">
        <f>FALSE()</f>
        <v>0</v>
      </c>
      <c r="F1" s="1" t="b">
        <f>TRUE()</f>
        <v>1</v>
      </c>
      <c r="G1" s="26" t="s">
        <v>68</v>
      </c>
      <c r="H1" s="1" t="b">
        <f>TRUE()</f>
        <v>1</v>
      </c>
      <c r="I1" s="1" t="b">
        <f>FALSE()</f>
        <v>0</v>
      </c>
      <c r="J1" s="26" t="s">
        <v>70</v>
      </c>
      <c r="K1" s="1" t="b">
        <f>TRUE()</f>
        <v>1</v>
      </c>
      <c r="L1" s="1" t="b">
        <f>FALSE()</f>
        <v>0</v>
      </c>
      <c r="M1" s="26" t="s">
        <v>72</v>
      </c>
      <c r="N1" s="1" t="b">
        <f>TRUE()</f>
        <v>1</v>
      </c>
      <c r="O1" s="1" t="b">
        <f>FALSE()</f>
        <v>0</v>
      </c>
      <c r="P1" s="26" t="s">
        <v>74</v>
      </c>
      <c r="Q1" s="1" t="b">
        <f>TRUE()</f>
        <v>1</v>
      </c>
      <c r="R1" s="1" t="b">
        <f>FALSE()</f>
        <v>0</v>
      </c>
      <c r="S1" s="26" t="s">
        <v>65</v>
      </c>
      <c r="T1" s="1" t="b">
        <f>FALSE()</f>
        <v>0</v>
      </c>
      <c r="U1" s="1" t="b">
        <f>FALSE()</f>
        <v>0</v>
      </c>
    </row>
    <row r="2" spans="1:21" x14ac:dyDescent="0.2">
      <c r="A2" s="26" t="s">
        <v>62</v>
      </c>
      <c r="B2" s="1" t="b">
        <f>FALSE()</f>
        <v>0</v>
      </c>
      <c r="C2" s="1" t="b">
        <f>FALSE()</f>
        <v>0</v>
      </c>
      <c r="D2" s="26" t="s">
        <v>66</v>
      </c>
      <c r="E2" s="1" t="b">
        <f>FALSE()</f>
        <v>0</v>
      </c>
      <c r="F2" s="1" t="b">
        <f>TRUE()</f>
        <v>1</v>
      </c>
      <c r="G2" s="26" t="s">
        <v>66</v>
      </c>
      <c r="H2" s="1" t="b">
        <f>FALSE()</f>
        <v>0</v>
      </c>
      <c r="I2" s="1" t="b">
        <f>TRUE()</f>
        <v>1</v>
      </c>
      <c r="J2" s="26" t="s">
        <v>66</v>
      </c>
      <c r="K2" s="1" t="b">
        <f>FALSE()</f>
        <v>0</v>
      </c>
      <c r="L2" s="1" t="b">
        <f>TRUE()</f>
        <v>1</v>
      </c>
      <c r="M2" s="26" t="s">
        <v>66</v>
      </c>
      <c r="N2" s="1" t="b">
        <f>FALSE()</f>
        <v>0</v>
      </c>
      <c r="O2" s="1" t="b">
        <f>TRUE()</f>
        <v>1</v>
      </c>
      <c r="P2" s="26" t="s">
        <v>66</v>
      </c>
      <c r="Q2" s="1" t="b">
        <f>FALSE()</f>
        <v>0</v>
      </c>
      <c r="R2" s="1" t="b">
        <f>TRUE()</f>
        <v>1</v>
      </c>
      <c r="S2" s="26" t="s">
        <v>76</v>
      </c>
      <c r="T2" s="1" t="b">
        <f>TRUE()</f>
        <v>1</v>
      </c>
      <c r="U2" s="1" t="b">
        <f>FALSE()</f>
        <v>0</v>
      </c>
    </row>
    <row r="3" spans="1:21" x14ac:dyDescent="0.2">
      <c r="A3" s="26" t="s">
        <v>63</v>
      </c>
      <c r="B3" s="1" t="b">
        <f>FALSE()</f>
        <v>0</v>
      </c>
      <c r="C3" s="1" t="b">
        <f>FALSE()</f>
        <v>0</v>
      </c>
      <c r="D3" s="1" t="s">
        <v>67</v>
      </c>
      <c r="E3" s="1"/>
      <c r="F3" s="1"/>
      <c r="G3" s="1" t="s">
        <v>69</v>
      </c>
      <c r="H3" s="1"/>
      <c r="I3" s="1"/>
      <c r="J3" s="1" t="s">
        <v>71</v>
      </c>
      <c r="K3" s="1"/>
      <c r="L3" s="1"/>
      <c r="M3" s="1" t="s">
        <v>73</v>
      </c>
      <c r="N3" s="1"/>
      <c r="O3" s="1"/>
      <c r="P3" s="1" t="s">
        <v>75</v>
      </c>
      <c r="Q3" s="1"/>
      <c r="R3" s="1"/>
      <c r="S3" s="1" t="s">
        <v>77</v>
      </c>
      <c r="T3" s="1"/>
      <c r="U3" s="1"/>
    </row>
    <row r="4" spans="1:21" x14ac:dyDescent="0.2">
      <c r="A4" s="1" t="s">
        <v>64</v>
      </c>
      <c r="B4" s="1"/>
      <c r="C4" s="1"/>
      <c r="D4" s="1"/>
      <c r="E4" s="1"/>
      <c r="F4" s="1"/>
      <c r="G4" s="1"/>
      <c r="H4" s="1"/>
      <c r="I4" s="1"/>
      <c r="J4" s="1"/>
      <c r="K4" s="1"/>
      <c r="L4" s="1"/>
      <c r="M4" s="1"/>
      <c r="N4" s="1"/>
      <c r="O4" s="1"/>
      <c r="P4" s="1"/>
      <c r="Q4" s="1"/>
      <c r="R4" s="1"/>
      <c r="S4" s="1"/>
      <c r="T4" s="1"/>
      <c r="U4" s="1"/>
    </row>
  </sheetData>
  <sheetProtection password="E36C"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14</vt:i4>
      </vt:variant>
    </vt:vector>
  </HeadingPairs>
  <TitlesOfParts>
    <vt:vector size="17" baseType="lpstr">
      <vt:lpstr>Instructions</vt:lpstr>
      <vt:lpstr>Summary</vt:lpstr>
      <vt:lpstr>1</vt:lpstr>
      <vt:lpstr>responseOption0</vt:lpstr>
      <vt:lpstr>responseOption1</vt:lpstr>
      <vt:lpstr>responseOption2</vt:lpstr>
      <vt:lpstr>responseOption3</vt:lpstr>
      <vt:lpstr>responseOption4</vt:lpstr>
      <vt:lpstr>responseOption5</vt:lpstr>
      <vt:lpstr>responseOption6</vt:lpstr>
      <vt:lpstr>responseValidationRulesGroup0</vt:lpstr>
      <vt:lpstr>responseValidationRulesGroup1</vt:lpstr>
      <vt:lpstr>responseValidationRulesGroup2</vt:lpstr>
      <vt:lpstr>responseValidationRulesGroup3</vt:lpstr>
      <vt:lpstr>responseValidationRulesGroup4</vt:lpstr>
      <vt:lpstr>responseValidationRulesGroup5</vt:lpstr>
      <vt:lpstr>responseValidationRulesGroup6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Response Template</dc:title>
  <dc:subject/>
  <dc:creator>Bonfire</dc:creator>
  <cp:keywords/>
  <dc:description/>
  <cp:lastModifiedBy>Marjorie Roberts</cp:lastModifiedBy>
  <cp:lastPrinted>2025-03-18T14:20:59Z</cp:lastPrinted>
  <dcterms:created xsi:type="dcterms:W3CDTF">2025-03-18T13:18:02Z</dcterms:created>
  <dcterms:modified xsi:type="dcterms:W3CDTF">2025-03-18T14:35:13Z</dcterms:modified>
  <cp:category/>
</cp:coreProperties>
</file>