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westcare.local\files\FL-GCC\Global Share\Heron Shared\HSAB FY26\"/>
    </mc:Choice>
  </mc:AlternateContent>
  <xr:revisionPtr revIDLastSave="0" documentId="13_ncr:1_{378DBAEC-AE13-4C40-B2D0-6E9E40A01C0C}" xr6:coauthVersionLast="47" xr6:coauthVersionMax="47" xr10:uidLastSave="{00000000-0000-0000-0000-000000000000}"/>
  <workbookProtection lockStructure="1"/>
  <bookViews>
    <workbookView xWindow="-110" yWindow="-110" windowWidth="19420" windowHeight="10300" activeTab="2" xr2:uid="{00000000-000D-0000-FFFF-FFFF00000000}"/>
  </bookViews>
  <sheets>
    <sheet name="Instructions" sheetId="1" r:id="rId1"/>
    <sheet name="Summary" sheetId="2" r:id="rId2"/>
    <sheet name="1" sheetId="3" r:id="rId3"/>
    <sheet name="Response Options (hidden)" sheetId="4" state="veryHidden" r:id="rId4"/>
  </sheets>
  <definedNames>
    <definedName name="responseOption0">'Response Options (hidden)'!$A$1:$A$3</definedName>
    <definedName name="responseOption1">'Response Options (hidden)'!$D$1:$D$2</definedName>
    <definedName name="responseOption2">'Response Options (hidden)'!$G$1:$G$2</definedName>
    <definedName name="responseOption3">'Response Options (hidden)'!$J$1:$J$2</definedName>
    <definedName name="responseOption4">'Response Options (hidden)'!$M$1:$M$2</definedName>
    <definedName name="responseOption5">'Response Options (hidden)'!$P$1:$P$2</definedName>
    <definedName name="responseOption6">'Response Options (hidden)'!$S$1:$S$2</definedName>
    <definedName name="responseValidationRulesGroup0">'Response Options (hidden)'!$A$1:$C$4</definedName>
    <definedName name="responseValidationRulesGroup1">'Response Options (hidden)'!$D$1:$F$3</definedName>
    <definedName name="responseValidationRulesGroup2">'Response Options (hidden)'!$G$1:$I$3</definedName>
    <definedName name="responseValidationRulesGroup3">'Response Options (hidden)'!$J$1:$L$3</definedName>
    <definedName name="responseValidationRulesGroup4">'Response Options (hidden)'!$M$1:$O$3</definedName>
    <definedName name="responseValidationRulesGroup5">'Response Options (hidden)'!$P$1:$R$3</definedName>
    <definedName name="responseValidationRulesGroup6">'Response Options (hidden)'!$S$1:$U$3</definedName>
  </definedName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4" l="1"/>
  <c r="B3" i="4"/>
  <c r="U2" i="4"/>
  <c r="T2" i="4"/>
  <c r="R2" i="4"/>
  <c r="Q2" i="4"/>
  <c r="O2" i="4"/>
  <c r="N2" i="4"/>
  <c r="H23" i="3" s="1"/>
  <c r="L2" i="4"/>
  <c r="K2" i="4"/>
  <c r="H22" i="3" s="1"/>
  <c r="I2" i="4"/>
  <c r="H2" i="4"/>
  <c r="H21" i="3" s="1"/>
  <c r="F2" i="4"/>
  <c r="E2" i="4"/>
  <c r="C2" i="4"/>
  <c r="B2" i="4"/>
  <c r="U1" i="4"/>
  <c r="T1" i="4"/>
  <c r="R1" i="4"/>
  <c r="Q1" i="4"/>
  <c r="O1" i="4"/>
  <c r="N1" i="4"/>
  <c r="L1" i="4"/>
  <c r="K1" i="4"/>
  <c r="I1" i="4"/>
  <c r="H1" i="4"/>
  <c r="F1" i="4"/>
  <c r="E1" i="4"/>
  <c r="C1" i="4"/>
  <c r="B1" i="4"/>
  <c r="C33" i="3"/>
  <c r="C11" i="2" s="1"/>
  <c r="C14" i="2" s="1"/>
  <c r="H32" i="3"/>
  <c r="H30" i="3"/>
  <c r="H29" i="3"/>
  <c r="H28" i="3"/>
  <c r="H27" i="3"/>
  <c r="H25" i="3"/>
  <c r="H24" i="3"/>
  <c r="H18" i="3"/>
  <c r="H17" i="3"/>
  <c r="H16" i="3"/>
  <c r="H15" i="3"/>
  <c r="H14" i="3"/>
  <c r="H13" i="3"/>
  <c r="H11" i="3"/>
  <c r="H20" i="3" l="1"/>
  <c r="H12" i="3"/>
  <c r="H26" i="3"/>
  <c r="H31" i="3"/>
  <c r="H19" i="3"/>
  <c r="F33" i="3" l="1"/>
  <c r="E11" i="2" s="1"/>
  <c r="AX12" i="2" s="1"/>
  <c r="BF11" i="2" l="1"/>
  <c r="AY12" i="2"/>
  <c r="AG12" i="2"/>
  <c r="X12" i="2"/>
  <c r="L12" i="2"/>
  <c r="AQ12" i="2"/>
  <c r="AO12" i="2"/>
  <c r="Z12" i="2"/>
  <c r="T12" i="2"/>
  <c r="V12" i="2"/>
  <c r="AR12" i="2"/>
  <c r="S12" i="2"/>
  <c r="AH12" i="2"/>
  <c r="BD12" i="2"/>
  <c r="AI12" i="2"/>
  <c r="N12" i="2"/>
  <c r="H12" i="2"/>
  <c r="AK12" i="2"/>
  <c r="E14" i="2"/>
  <c r="AX15" i="2" s="1"/>
  <c r="AM12" i="2"/>
  <c r="AB12" i="2"/>
  <c r="AV12" i="2"/>
  <c r="AS12" i="2"/>
  <c r="AP12" i="2"/>
  <c r="AZ12" i="2"/>
  <c r="AF12" i="2"/>
  <c r="AW12" i="2"/>
  <c r="P12" i="2"/>
  <c r="O12" i="2"/>
  <c r="AD12" i="2"/>
  <c r="Y12" i="2"/>
  <c r="I12" i="2"/>
  <c r="G12" i="2"/>
  <c r="AU12" i="2"/>
  <c r="M12" i="2"/>
  <c r="AA12" i="2"/>
  <c r="K12" i="2"/>
  <c r="AL12" i="2"/>
  <c r="BB12" i="2"/>
  <c r="BC12" i="2"/>
  <c r="AT12" i="2"/>
  <c r="W12" i="2"/>
  <c r="Q12" i="2"/>
  <c r="BA12" i="2"/>
  <c r="AN12" i="2"/>
  <c r="J12" i="2"/>
  <c r="AJ12" i="2"/>
  <c r="AC12" i="2"/>
  <c r="U12" i="2"/>
  <c r="R12" i="2"/>
  <c r="AE12" i="2"/>
  <c r="AJ15" i="2" l="1"/>
  <c r="AQ15" i="2"/>
  <c r="AY15" i="2"/>
  <c r="X15" i="2"/>
  <c r="AT15" i="2"/>
  <c r="BB15" i="2"/>
  <c r="W15" i="2"/>
  <c r="Z15" i="2"/>
  <c r="L15" i="2"/>
  <c r="N15" i="2"/>
  <c r="AV15" i="2"/>
  <c r="AL15" i="2"/>
  <c r="U15" i="2"/>
  <c r="AW15" i="2"/>
  <c r="AF15" i="2"/>
  <c r="S15" i="2"/>
  <c r="J15" i="2"/>
  <c r="G15" i="2"/>
  <c r="AI15" i="2"/>
  <c r="AA15" i="2"/>
  <c r="K15" i="2"/>
  <c r="T15" i="2"/>
  <c r="AD15" i="2"/>
  <c r="AB15" i="2"/>
  <c r="AO15" i="2"/>
  <c r="Y15" i="2"/>
  <c r="V15" i="2"/>
  <c r="AN15" i="2"/>
  <c r="Q15" i="2"/>
  <c r="AH15" i="2"/>
  <c r="O15" i="2"/>
  <c r="AZ15" i="2"/>
  <c r="AC15" i="2"/>
  <c r="AG15" i="2"/>
  <c r="BD15" i="2"/>
  <c r="BA15" i="2"/>
  <c r="M15" i="2"/>
  <c r="H15" i="2"/>
  <c r="I15" i="2"/>
  <c r="AU15" i="2"/>
  <c r="AS15" i="2"/>
  <c r="AK15" i="2"/>
  <c r="P15" i="2"/>
  <c r="BC15" i="2"/>
  <c r="R15" i="2"/>
  <c r="AR15" i="2"/>
  <c r="AM15" i="2"/>
  <c r="AP15" i="2"/>
  <c r="AE15" i="2"/>
</calcChain>
</file>

<file path=xl/sharedStrings.xml><?xml version="1.0" encoding="utf-8"?>
<sst xmlns="http://schemas.openxmlformats.org/spreadsheetml/2006/main" count="106" uniqueCount="91">
  <si>
    <t>cbf5ccc82255b4610885b1fb42760b9a0f480daa4b700b43c1ed2f82a42375c0c3492cacad9525c929f808441f2da7b962c2ca6ef48f8f8832bb521051926f7ctwN+TnmRIrYxvfVRVuQa6dalqOUmPybZ1m4OOrA8bujNPi7DlJrkKtrfPN787Rv6</t>
  </si>
  <si>
    <t>HSAB Applicant Questions (Q-59IT)</t>
  </si>
  <si>
    <t>Instructions</t>
  </si>
  <si>
    <t>- The Summary worksheet displays your overall progress for the questionnaire.
- The worksheets numbered from 1 to N represent question sets.
- For each question set, select a response from the dropdown (if applicable) and enter a response comment for each question in the table.
- If specific instructions have been provided for a given subset, they will appear as a tooltip for a purple cell. Mouse-over to review them.
-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do not use Excel formulas in your responses.
- Please follow the instructions provided along with this file to submit it back to Bonfire.
- If you have any questions regarding the content of this file, please contact the appropriate purchaser.
- If you have any technical problems, please contact Bonfire at Support@GoBonfire.com.</t>
  </si>
  <si>
    <t>Additional Instructions</t>
  </si>
  <si>
    <t>Summary tab shows progress completed, Tab 1 contains the questions to be answered.</t>
  </si>
  <si>
    <t>Total</t>
  </si>
  <si>
    <t>Summary</t>
  </si>
  <si>
    <t>Question Set</t>
  </si>
  <si>
    <t>Questions</t>
  </si>
  <si>
    <t>Hide Me</t>
  </si>
  <si>
    <t>% Complete</t>
  </si>
  <si>
    <t>Progress</t>
  </si>
  <si>
    <t>Error?</t>
  </si>
  <si>
    <t>Question Set 1: Questions</t>
  </si>
  <si>
    <t>#</t>
  </si>
  <si>
    <t>Question</t>
  </si>
  <si>
    <t>Response</t>
  </si>
  <si>
    <t>Comment</t>
  </si>
  <si>
    <t>Status</t>
  </si>
  <si>
    <t>General Use of Funds</t>
  </si>
  <si>
    <t>1.1.1</t>
  </si>
  <si>
    <t xml:space="preserve">
Amount requested for the upcoming fiscal year and select the category that best matches the proposed services. If the proposed program involves more than one (1) category enter the budget request for each category.
-Medical Services: Medical, mental, and dental care for the economically disadvantaged.
-Core Social Services: Essential services such as food clothing or housing: emergency disaster; family violence; and adult and child daycare.
-Quality of Life Improvement Services: Services provided to improve the quality of life for individuals or the community such as educational, preventative, training, recreational, and cultural services; etc.
</t>
  </si>
  <si>
    <t>1.1.2</t>
  </si>
  <si>
    <t xml:space="preserve">
Insert your agency’s board-approved mission statement only.
</t>
  </si>
  <si>
    <t>1.1.3</t>
  </si>
  <si>
    <t xml:space="preserve">
List the services your agency provides.
</t>
  </si>
  <si>
    <t>1.1.4</t>
  </si>
  <si>
    <t xml:space="preserve">
For fiscal year 2026, specifically how will the amount requested be utilized?
</t>
  </si>
  <si>
    <t>Cover Letter</t>
  </si>
  <si>
    <t>1.2.1</t>
  </si>
  <si>
    <t xml:space="preserve">
I: Provide a brief overview of your organization, what unique role in the community does your organization's proposed program fulfill that no one else does? 
II: Collaboration between agencies can bring cost-savings for all. Please describe any current cost-sharing measures, overlap, common associations, common services, networking and working relationships, or sub-contractor relationships you are involved in with any other organizations. Examples may include, but aren't limited to, shared services such as human resources, payroll processing, or IT, board members, or personnel.
</t>
  </si>
  <si>
    <t>Application Questions</t>
  </si>
  <si>
    <t>1.3.1</t>
  </si>
  <si>
    <t xml:space="preserve">
Have you previously been funded by HSAB?
</t>
  </si>
  <si>
    <t>1.3.2</t>
  </si>
  <si>
    <t xml:space="preserve">
Will County HSAB funds be used as match for a grant?
</t>
  </si>
  <si>
    <t>1.3.3</t>
  </si>
  <si>
    <t xml:space="preserve">
Have you experienced any changes specific to expansion or contraction of services, staff or location.
</t>
  </si>
  <si>
    <t>1.3.4</t>
  </si>
  <si>
    <t xml:space="preserve">
Did your agency lose any funding, or partial funding in 2025?
</t>
  </si>
  <si>
    <t>1.3.5</t>
  </si>
  <si>
    <t xml:space="preserve">
Will you or have you applied for other sources of County funding? 
(Please include these on the Agency Revenue form)
</t>
  </si>
  <si>
    <t>1.3.6</t>
  </si>
  <si>
    <t xml:space="preserve">
Describe your target population as specifically as possible.
</t>
  </si>
  <si>
    <t>1.3.7</t>
  </si>
  <si>
    <t xml:space="preserve">
How are clients referred to your agency?
</t>
  </si>
  <si>
    <t>1.3.8</t>
  </si>
  <si>
    <t xml:space="preserve">
Have you failed to submit any required reimbursement request, or the annual performance report as required by the grant agreement?
</t>
  </si>
  <si>
    <t>1.3.9</t>
  </si>
  <si>
    <t xml:space="preserve">
__________ hours of program service were contributed by ____________ volunteers in the last year (FY2023 - October 1, 2023 through September 30, 2024).
</t>
  </si>
  <si>
    <t>1.3.10</t>
  </si>
  <si>
    <t xml:space="preserve">
What measurable outcomes do you plan to accomplish in the next funding year and how will you measure these?
</t>
  </si>
  <si>
    <t>1.3.11</t>
  </si>
  <si>
    <t xml:space="preserve">
Provide information about units of service in the format below. (Response not required is applying for $5,000 or less).
Service: ______      Unit (Hour, session, day, etc.): ________       Cost charged per unit to client (range for current year): _____________
</t>
  </si>
  <si>
    <t>1.3.12</t>
  </si>
  <si>
    <t xml:space="preserve">
What is the current number of employees, full-time and part-time, on the payroll for the entire organization? How many employees ("snapshot") does your organization have as of today's date?
</t>
  </si>
  <si>
    <t>1.3.13</t>
  </si>
  <si>
    <t xml:space="preserve">
Is your organization fully staffed?
</t>
  </si>
  <si>
    <t>1.3.14</t>
  </si>
  <si>
    <t xml:space="preserve">
Address any topics not covered or include any additional information you would like the board to know (optional). Documents can be added in file uploads as under additional documentation.
</t>
  </si>
  <si>
    <t>Medical Services</t>
  </si>
  <si>
    <t>Core Social Services</t>
  </si>
  <si>
    <t>Quality of Life Improvement Services</t>
  </si>
  <si>
    <t>Medical Services, Core Social Services, Quality of Life Improvement Services</t>
  </si>
  <si>
    <t>Yes</t>
  </si>
  <si>
    <t>No</t>
  </si>
  <si>
    <t>Yes, No</t>
  </si>
  <si>
    <t>Yes; what changed?</t>
  </si>
  <si>
    <t>Yes; what changed?, No</t>
  </si>
  <si>
    <t>Yes; How much? From what source? Why was funding lost?</t>
  </si>
  <si>
    <t>Yes; How much? From what source? Why was funding lost?, No</t>
  </si>
  <si>
    <t>Yes - Please list source(s) and amount(s).</t>
  </si>
  <si>
    <t>Yes - Please list source(s) and amount(s)., No</t>
  </si>
  <si>
    <t>Yes - Please explain why you failed to meet the deadline</t>
  </si>
  <si>
    <t>Yes - Please explain why you failed to meet the deadline, No</t>
  </si>
  <si>
    <t>No - What positions are open &amp; why? How does this impact your services?</t>
  </si>
  <si>
    <t>Yes, No - What positions are open &amp; why? How does this impact your services?</t>
  </si>
  <si>
    <t>$61,775</t>
  </si>
  <si>
    <t>Funding will be utilized to pay wages and payroll taxes for program staff and management and administration expenses.</t>
  </si>
  <si>
    <t xml:space="preserve">9 employees as of 3/10/25.  </t>
  </si>
  <si>
    <t>a. The Heron will provide a minimum of 4599 bed days to SPMI adults in a safe environment.  This is representative of 90% of all available bed days (total capacity= 5110).  
b. 90% of those residents who are discharged from the program will be discharged to alternative stable housing 
c. 90% of all residents will be linked with Wellness services at GCC to assure proper integration of Mental Health, Substance Abuse, and Primary Care Services.</t>
  </si>
  <si>
    <t xml:space="preserve">WestCare empowers every one with whom we come into contact to engage in a process of healing, growth and change benefiting themselves, their families, coworkers and communities. </t>
  </si>
  <si>
    <t>The Heron serves adults diagnosed with chronic and persistent mental illness. These individuals often experience symptoms that may impact their ability to maintain housing, employment, interpersonal relationships, and manage their activities of daily living. Mental health conditions can affect thought processes, mood, behavior, and emotional well-being and affect people from all walks of life and age groups.  Creating a safe and supportive environment is a crucial aspect of their recovery journey.</t>
  </si>
  <si>
    <t>l: Since 1988 The Heron has addressed the need for housing and supportive services for adults who have severe mental illness and is the only Assisted Living Facility with a Limited Mental Health license in Monroe County providing this stable and permanent housing opportunity.  Without such housing these individuals would typically not have access to psychiatric treatment, medications, addiction counseling, case management or any of the wide variety of services that are required to treat their disease. ll: The Heron (via Guidance / Care Center) participates in local and regional committees and work groups, fostering valuable networking opportunities. As a member of the Monroe County Homeless Services Continuum of Care (CoC) we collaborate directly with representatives from other local social service agencies to coordinate the delivery of services, resources, outreach and client care.  We regularly participate in meetings of the local Substance Abuse/Mental Health Council created by the Florida Department of Children and Families (DCF).  The Heron, via GCC, also liaise on a monthly basis with South Florida State Hospital to assist in arranging housing for Monroe County residents upon their release from the treatment facility.  Additionally, GCC employs a forensic case manager at the Monroe County Detention Center who can identify potential referrals before they are released from the facility.</t>
  </si>
  <si>
    <t>The Heron residents are referred by family, friends and from other local non-profits partners including the Lower Keys Medical (Depoo Hospital Key West), the Guidance Care Center's Crisis Stabilization Unit, Florida Keys Outreach Coalition (FKOC), Samuels House and Monroe County Detention Center.  Referrals are also received from the three Florida state psychiatric hospitals.</t>
  </si>
  <si>
    <t>At present there is one full-time Support Worker position available. All other positions are fully staffed, ensuring that necessary services continue without disruption. This position is open as the staff member left for a higher paying position in the private sector.</t>
  </si>
  <si>
    <t>N/A</t>
  </si>
  <si>
    <t>The Heron provides housing and direct supportive services to indigent adults with mental illness. Supportive services include supervision of medications, meal preparation, assistance and education on activities of daily living (laundry, shopping and personal care), along with referrals and transportation to other supportive services and events in the community</t>
  </si>
  <si>
    <t>Service: Assisted Living Room &amp; Board.  Unit: Day.  Cost per Unit to the Client varies, sliding fee scale available.  Managing Entity reimbursement rate: $113.00</t>
  </si>
  <si>
    <t>There were no service hours contributed by volunteers this reporting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</si>
</sst>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quot;Questions&quot;"/>
    <numFmt numFmtId="165" formatCode="0\ &quot;pts&quot;"/>
    <numFmt numFmtId="166" formatCode="0.00%\ &quot;Complete&quot;"/>
    <numFmt numFmtId="167" formatCode="&quot;The comment must be left blank for this response&quot;"/>
  </numFmts>
  <fonts count="7" x14ac:knownFonts="1">
    <font>
      <sz val="12"/>
      <color rgb="FF000000"/>
      <name val="Arial"/>
    </font>
    <font>
      <b/>
      <sz val="22"/>
      <color rgb="FF404040"/>
      <name val="Arial"/>
      <family val="2"/>
    </font>
    <font>
      <b/>
      <sz val="12"/>
      <color rgb="FFFFFFFF"/>
      <name val="Arial"/>
      <family val="2"/>
    </font>
    <font>
      <b/>
      <sz val="14"/>
      <color rgb="FFFFFFFF"/>
      <name val="Arial"/>
      <family val="2"/>
    </font>
    <font>
      <sz val="12"/>
      <color rgb="FFFFFFFF"/>
      <name val="Arial"/>
      <family val="2"/>
    </font>
    <font>
      <sz val="12"/>
      <color rgb="FF000000"/>
      <name val="Arial"/>
      <family val="2"/>
    </font>
    <font>
      <sz val="12"/>
      <color rgb="FF000000"/>
      <name val="Aptos"/>
      <family val="2"/>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7F7F7F"/>
        <bgColor rgb="FF000000"/>
      </patternFill>
    </fill>
  </fills>
  <borders count="25">
    <border>
      <left/>
      <right/>
      <top/>
      <bottom/>
      <diagonal/>
    </border>
    <border>
      <left style="thin">
        <color rgb="FFBFBFBF"/>
      </left>
      <right style="dotted">
        <color rgb="FFBFBFBF"/>
      </right>
      <top style="thin">
        <color rgb="FFBFBFBF"/>
      </top>
      <bottom style="thin">
        <color rgb="FFBFBFBF"/>
      </bottom>
      <diagonal/>
    </border>
    <border>
      <left style="dotted">
        <color rgb="FFBFBFBF"/>
      </left>
      <right style="dotted">
        <color rgb="FFBFBFBF"/>
      </right>
      <top style="thin">
        <color rgb="FFBFBFBF"/>
      </top>
      <bottom style="thin">
        <color rgb="FFBFBFBF"/>
      </bottom>
      <diagonal/>
    </border>
    <border>
      <left style="dotted">
        <color rgb="FFBFBFBF"/>
      </left>
      <right style="thin">
        <color rgb="FFBFBFBF"/>
      </right>
      <top style="thin">
        <color rgb="FFBFBFBF"/>
      </top>
      <bottom style="thin">
        <color rgb="FFBFBFBF"/>
      </bottom>
      <diagonal/>
    </border>
    <border>
      <left/>
      <right style="dotted">
        <color rgb="FFBFBFBF"/>
      </right>
      <top/>
      <bottom/>
      <diagonal/>
    </border>
    <border>
      <left style="dotted">
        <color rgb="FFBFBFBF"/>
      </left>
      <right style="dotted">
        <color rgb="FFBFBFBF"/>
      </right>
      <top/>
      <bottom/>
      <diagonal/>
    </border>
    <border>
      <left style="dotted">
        <color rgb="FFBFBFBF"/>
      </left>
      <right/>
      <top/>
      <bottom/>
      <diagonal/>
    </border>
    <border>
      <left/>
      <right/>
      <top style="medium">
        <color rgb="FFBFBFBF"/>
      </top>
      <bottom/>
      <diagonal/>
    </border>
    <border>
      <left style="dotted">
        <color rgb="FFBFBFBF"/>
      </left>
      <right/>
      <top style="thin">
        <color rgb="FFBFBFBF"/>
      </top>
      <bottom/>
      <diagonal/>
    </border>
    <border>
      <left style="dotted">
        <color rgb="FFBFBFBF"/>
      </left>
      <right/>
      <top/>
      <bottom/>
      <diagonal/>
    </border>
    <border>
      <left style="dotted">
        <color rgb="FFBFBFBF"/>
      </left>
      <right/>
      <top/>
      <bottom style="thin">
        <color rgb="FFBFBFBF"/>
      </bottom>
      <diagonal/>
    </border>
    <border>
      <left/>
      <right/>
      <top style="thin">
        <color rgb="FFBFBFBF"/>
      </top>
      <bottom/>
      <diagonal/>
    </border>
    <border>
      <left/>
      <right/>
      <top/>
      <bottom style="thin">
        <color rgb="FFBFBFBF"/>
      </bottom>
      <diagonal/>
    </border>
    <border>
      <left/>
      <right style="dotted">
        <color rgb="FFBFBFBF"/>
      </right>
      <top style="thin">
        <color rgb="FFBFBFBF"/>
      </top>
      <bottom/>
      <diagonal/>
    </border>
    <border>
      <left/>
      <right style="dotted">
        <color rgb="FFBFBFBF"/>
      </right>
      <top/>
      <bottom/>
      <diagonal/>
    </border>
    <border>
      <left/>
      <right style="dotted">
        <color rgb="FFBFBFBF"/>
      </right>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dotted">
        <color rgb="FFBFBFBF"/>
      </right>
      <top style="medium">
        <color rgb="FFBFBFBF"/>
      </top>
      <bottom style="thin">
        <color rgb="FFBFBFBF"/>
      </bottom>
      <diagonal/>
    </border>
    <border>
      <left style="dotted">
        <color rgb="FFBFBFBF"/>
      </left>
      <right style="dotted">
        <color rgb="FFBFBFBF"/>
      </right>
      <top style="medium">
        <color rgb="FFBFBFBF"/>
      </top>
      <bottom style="thin">
        <color rgb="FFBFBFBF"/>
      </bottom>
      <diagonal/>
    </border>
    <border>
      <left style="dotted">
        <color rgb="FFBFBFBF"/>
      </left>
      <right/>
      <top style="medium">
        <color rgb="FFBFBFBF"/>
      </top>
      <bottom/>
      <diagonal/>
    </border>
    <border>
      <left/>
      <right/>
      <top style="medium">
        <color rgb="FFBFBFBF"/>
      </top>
      <bottom/>
      <diagonal/>
    </border>
    <border>
      <left/>
      <right style="dotted">
        <color rgb="FFBFBFBF"/>
      </right>
      <top style="medium">
        <color rgb="FFBFBFBF"/>
      </top>
      <bottom/>
      <diagonal/>
    </border>
    <border>
      <left style="dotted">
        <color rgb="FFBFBFBF"/>
      </left>
      <right style="thin">
        <color rgb="FFBFBFBF"/>
      </right>
      <top style="medium">
        <color rgb="FFBFBFBF"/>
      </top>
      <bottom style="thin">
        <color rgb="FFBFBFBF"/>
      </bottom>
      <diagonal/>
    </border>
  </borders>
  <cellStyleXfs count="1">
    <xf numFmtId="0" fontId="0" fillId="0" borderId="0"/>
  </cellStyleXfs>
  <cellXfs count="60">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2" fillId="4" borderId="0" xfId="0" applyFont="1" applyFill="1" applyAlignment="1">
      <alignment horizontal="center" vertical="center" wrapText="1"/>
    </xf>
    <xf numFmtId="0" fontId="2" fillId="5" borderId="0" xfId="0" applyFont="1" applyFill="1" applyAlignment="1">
      <alignment horizontal="center" vertical="center" wrapText="1"/>
    </xf>
    <xf numFmtId="49" fontId="0" fillId="3" borderId="2" xfId="0" applyNumberFormat="1" applyFill="1" applyBorder="1" applyAlignment="1" applyProtection="1">
      <alignment horizontal="center" vertical="center" wrapText="1"/>
      <protection locked="0"/>
    </xf>
    <xf numFmtId="49" fontId="0" fillId="3" borderId="3" xfId="0" applyNumberFormat="1" applyFill="1" applyBorder="1" applyAlignment="1" applyProtection="1">
      <alignment horizontal="left" vertical="center" wrapText="1" indent="1"/>
      <protection locked="0"/>
    </xf>
    <xf numFmtId="0" fontId="3" fillId="6" borderId="4" xfId="0" applyFont="1" applyFill="1" applyBorder="1" applyAlignment="1" applyProtection="1">
      <alignment horizontal="left" vertical="center" indent="1"/>
      <protection locked="0"/>
    </xf>
    <xf numFmtId="0" fontId="3" fillId="6" borderId="6" xfId="0" applyFont="1" applyFill="1" applyBorder="1" applyAlignment="1" applyProtection="1">
      <alignment horizontal="left" vertical="center" wrapText="1" indent="1"/>
      <protection locked="0"/>
    </xf>
    <xf numFmtId="0" fontId="3" fillId="4" borderId="7" xfId="0" applyFont="1" applyFill="1" applyBorder="1" applyAlignment="1">
      <alignment horizontal="center" vertical="center"/>
    </xf>
    <xf numFmtId="165" fontId="3" fillId="4" borderId="7" xfId="0" applyNumberFormat="1" applyFont="1" applyFill="1" applyBorder="1" applyAlignment="1">
      <alignment horizontal="center" vertical="center"/>
    </xf>
    <xf numFmtId="0" fontId="0" fillId="3" borderId="2" xfId="0" applyFill="1" applyBorder="1" applyAlignment="1">
      <alignment horizontal="left" vertical="center" wrapText="1" indent="1"/>
    </xf>
    <xf numFmtId="167" fontId="0" fillId="2" borderId="0" xfId="0" applyNumberFormat="1" applyFill="1" applyAlignment="1">
      <alignment vertical="center" wrapText="1" indent="1" shrinkToFit="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49" fontId="0" fillId="2" borderId="0" xfId="0" applyNumberFormat="1" applyFill="1"/>
    <xf numFmtId="0" fontId="3"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5" xfId="0" applyFont="1" applyFill="1" applyBorder="1" applyAlignment="1">
      <alignment horizontal="center" vertical="center"/>
    </xf>
    <xf numFmtId="49" fontId="6" fillId="3" borderId="2" xfId="0" applyNumberFormat="1" applyFont="1" applyFill="1" applyBorder="1" applyAlignment="1" applyProtection="1">
      <alignment horizontal="center" vertical="center" wrapText="1"/>
      <protection locked="0"/>
    </xf>
    <xf numFmtId="49" fontId="5" fillId="3" borderId="2" xfId="0" applyNumberFormat="1" applyFont="1" applyFill="1" applyBorder="1" applyAlignment="1" applyProtection="1">
      <alignment horizontal="center" vertical="center" wrapText="1"/>
      <protection locked="0"/>
    </xf>
    <xf numFmtId="0" fontId="1" fillId="2" borderId="0" xfId="0" applyFont="1" applyFill="1" applyAlignment="1">
      <alignment horizontal="left" vertical="center" wrapText="1"/>
    </xf>
    <xf numFmtId="0" fontId="0" fillId="2" borderId="0" xfId="0" applyFill="1" applyProtection="1">
      <protection locked="0"/>
    </xf>
    <xf numFmtId="0" fontId="0" fillId="3" borderId="0" xfId="0" applyFill="1" applyAlignment="1">
      <alignment vertical="center" wrapText="1"/>
    </xf>
    <xf numFmtId="0" fontId="0" fillId="2" borderId="0" xfId="0" applyFill="1" applyAlignment="1">
      <alignment vertical="top" wrapText="1"/>
    </xf>
    <xf numFmtId="0" fontId="3" fillId="4" borderId="24" xfId="0" applyFont="1" applyFill="1" applyBorder="1" applyAlignment="1">
      <alignment horizontal="center" vertical="center"/>
    </xf>
    <xf numFmtId="0" fontId="3" fillId="4" borderId="3" xfId="0" applyFont="1"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2" fillId="4" borderId="0" xfId="0" applyFont="1" applyFill="1" applyAlignment="1">
      <alignment horizontal="center" vertical="center" wrapText="1"/>
    </xf>
    <xf numFmtId="0" fontId="3" fillId="4" borderId="19"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2" xfId="0" applyFont="1" applyFill="1" applyBorder="1" applyAlignment="1">
      <alignment horizontal="center" vertical="center"/>
    </xf>
    <xf numFmtId="0" fontId="3" fillId="6" borderId="4" xfId="0" applyFont="1" applyFill="1" applyBorder="1" applyAlignment="1">
      <alignment horizontal="left" vertical="center" wrapText="1" indent="1"/>
    </xf>
    <xf numFmtId="0" fontId="3" fillId="6" borderId="5" xfId="0" applyFont="1" applyFill="1" applyBorder="1" applyAlignment="1">
      <alignment horizontal="left" vertical="center" wrapText="1" indent="1"/>
    </xf>
    <xf numFmtId="0" fontId="3" fillId="6" borderId="6" xfId="0" applyFont="1" applyFill="1" applyBorder="1" applyAlignment="1">
      <alignment horizontal="left" vertical="center" wrapText="1" indent="1"/>
    </xf>
    <xf numFmtId="164" fontId="3" fillId="4" borderId="7" xfId="0" applyNumberFormat="1" applyFont="1" applyFill="1" applyBorder="1" applyAlignment="1">
      <alignment horizontal="center" vertical="center"/>
    </xf>
    <xf numFmtId="0" fontId="3" fillId="4" borderId="7" xfId="0" applyFont="1" applyFill="1" applyBorder="1" applyAlignment="1">
      <alignment horizontal="center" vertical="center"/>
    </xf>
    <xf numFmtId="166" fontId="3" fillId="4" borderId="7" xfId="0" applyNumberFormat="1" applyFont="1" applyFill="1" applyBorder="1" applyAlignment="1">
      <alignment horizontal="center" vertical="center"/>
    </xf>
  </cellXfs>
  <cellStyles count="1">
    <cellStyle name="Normal" xfId="0" builtinId="0"/>
  </cellStyles>
  <dxfs count="20">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color rgb="FF9C0006"/>
      </font>
      <fill>
        <patternFill patternType="solid">
          <fgColor rgb="FFF7C6CE"/>
          <bgColor rgb="FFF7C6CE"/>
        </patternFill>
      </fill>
    </dxf>
    <dxf>
      <font>
        <color rgb="FFF7C6CE"/>
      </font>
      <fill>
        <patternFill patternType="solid">
          <fgColor rgb="FFF7C6CE"/>
          <bgColor rgb="FFF7C6CE"/>
        </patternFill>
      </fill>
    </dxf>
    <dxf>
      <font>
        <color rgb="FFC5EFCE"/>
      </font>
      <fill>
        <patternFill patternType="solid">
          <fgColor rgb="FFC5EFCE"/>
          <bgColor rgb="FFC5EFCE"/>
        </patternFill>
      </fill>
    </dxf>
    <dxf>
      <font>
        <b val="0"/>
        <color rgb="FF404040"/>
      </font>
      <fill>
        <patternFill patternType="solid">
          <fgColor rgb="FFC5EFCE"/>
          <bgColor rgb="FFC5EFCE"/>
        </patternFill>
      </fill>
      <alignment horizontal="left" vertical="center"/>
    </dxf>
    <dxf>
      <font>
        <b/>
        <color rgb="FF006100"/>
      </font>
      <fill>
        <patternFill patternType="solid">
          <fgColor rgb="FFC5EFCE"/>
          <bgColor rgb="FFC5EFCE"/>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ill>
        <patternFill patternType="solid">
          <fgColor rgb="FFFFFFFF"/>
          <bgColor rgb="FFFFFFFF"/>
        </patternFill>
      </fill>
    </dxf>
    <dxf>
      <font>
        <b/>
        <color rgb="FF9C0006"/>
      </font>
      <fill>
        <patternFill patternType="solid">
          <fgColor rgb="FFF7C6CE"/>
          <bgColor rgb="FFF7C6CE"/>
        </patternFill>
      </fill>
    </dxf>
    <dxf>
      <font>
        <b/>
        <color rgb="FF006100"/>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
      <numFmt numFmtId="14" formatCode="0.00%"/>
    </dxf>
    <dxf>
      <fill>
        <patternFill patternType="solid">
          <fgColor rgb="FFFFFFFF"/>
          <bgColor rgb="FFFFFFFF"/>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695575" cy="733425"/>
    <xdr:pic>
      <xdr:nvPicPr>
        <xdr:cNvPr id="2" name="Monroe County, FL_Logo" descr="Monroe County, FL">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ZZ702"/>
  <sheetViews>
    <sheetView showRowColHeaders="0" workbookViewId="0">
      <selection activeCell="B16" sqref="B16:E16"/>
    </sheetView>
  </sheetViews>
  <sheetFormatPr defaultRowHeight="15.5" x14ac:dyDescent="0.35"/>
  <cols>
    <col min="2" max="5" width="25" customWidth="1"/>
    <col min="702" max="702" width="9.07421875" hidden="1"/>
  </cols>
  <sheetData>
    <row r="8" spans="2:5" ht="32" customHeight="1" x14ac:dyDescent="0.35">
      <c r="B8" s="40" t="s">
        <v>1</v>
      </c>
      <c r="C8" s="41"/>
      <c r="D8" s="41"/>
      <c r="E8" s="41"/>
    </row>
    <row r="10" spans="2:5" ht="28" x14ac:dyDescent="0.35">
      <c r="B10" s="2" t="s">
        <v>2</v>
      </c>
    </row>
    <row r="12" spans="2:5" ht="409.6" customHeight="1" x14ac:dyDescent="0.35">
      <c r="B12" s="42" t="s">
        <v>3</v>
      </c>
      <c r="C12" s="42"/>
      <c r="D12" s="42"/>
      <c r="E12" s="42"/>
    </row>
    <row r="14" spans="2:5" ht="28" x14ac:dyDescent="0.35">
      <c r="B14" s="2" t="s">
        <v>4</v>
      </c>
    </row>
    <row r="16" spans="2:5" ht="16" customHeight="1" x14ac:dyDescent="0.35">
      <c r="B16" s="43" t="s">
        <v>5</v>
      </c>
      <c r="C16" s="41"/>
      <c r="D16" s="41"/>
      <c r="E16" s="41"/>
    </row>
    <row r="702" spans="702:702" x14ac:dyDescent="0.35">
      <c r="ZZ702" s="1" t="s">
        <v>0</v>
      </c>
    </row>
  </sheetData>
  <sheetProtection password="E36C" sheet="1" objects="1" scenarios="1" insertHyperlinks="0"/>
  <mergeCells count="3">
    <mergeCell ref="B8:E8"/>
    <mergeCell ref="B12:E12"/>
    <mergeCell ref="B16:E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F16"/>
  <sheetViews>
    <sheetView showRowColHeaders="0" workbookViewId="0">
      <pane ySplit="10" topLeftCell="A11" activePane="bottomLeft" state="frozen"/>
      <selection pane="bottomLeft" activeCell="AC12" sqref="AC12"/>
    </sheetView>
  </sheetViews>
  <sheetFormatPr defaultRowHeight="15.5" x14ac:dyDescent="0.35"/>
  <cols>
    <col min="2" max="3" width="20" customWidth="1"/>
    <col min="4" max="4" width="9.07421875" hidden="1"/>
    <col min="5" max="5" width="20" customWidth="1"/>
    <col min="6" max="6" width="2" customWidth="1"/>
    <col min="7" max="56" width="1" customWidth="1"/>
    <col min="57" max="57" width="2" customWidth="1"/>
    <col min="58" max="58" width="20" customWidth="1"/>
  </cols>
  <sheetData>
    <row r="2" spans="2:58" hidden="1" x14ac:dyDescent="0.35"/>
    <row r="3" spans="2:58" hidden="1" x14ac:dyDescent="0.35"/>
    <row r="4" spans="2:58" hidden="1" x14ac:dyDescent="0.35"/>
    <row r="5" spans="2:58" hidden="1" x14ac:dyDescent="0.35"/>
    <row r="6" spans="2:58" hidden="1" x14ac:dyDescent="0.35"/>
    <row r="7" spans="2:58" hidden="1" x14ac:dyDescent="0.35"/>
    <row r="8" spans="2:58" ht="28" x14ac:dyDescent="0.35">
      <c r="B8" s="2" t="s">
        <v>7</v>
      </c>
    </row>
    <row r="10" spans="2:58" ht="32" customHeight="1" x14ac:dyDescent="0.35">
      <c r="B10" s="5" t="s">
        <v>8</v>
      </c>
      <c r="C10" s="5" t="s">
        <v>9</v>
      </c>
      <c r="D10" s="5" t="s">
        <v>10</v>
      </c>
      <c r="E10" s="5" t="s">
        <v>11</v>
      </c>
      <c r="F10" s="49" t="s">
        <v>12</v>
      </c>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5" t="s">
        <v>13</v>
      </c>
    </row>
    <row r="11" spans="2:58" x14ac:dyDescent="0.35">
      <c r="B11" s="46">
        <v>1</v>
      </c>
      <c r="C11" s="47">
        <f>'1'!C33</f>
        <v>19</v>
      </c>
      <c r="D11" s="47"/>
      <c r="E11" s="47">
        <f ca="1">'1'!F33</f>
        <v>1</v>
      </c>
      <c r="F11" s="15"/>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20"/>
      <c r="BF11" s="48" t="str">
        <f ca="1">IF(E11= 1, "Complete: no errors",IF(COUNTIF(INDIRECT("'"&amp;B11:B13&amp;"'!H11:H12"),"*"&amp;"response"&amp;"*"),"Errors present","No errors"))</f>
        <v>Complete: no errors</v>
      </c>
    </row>
    <row r="12" spans="2:58" x14ac:dyDescent="0.35">
      <c r="B12" s="46"/>
      <c r="C12" s="47"/>
      <c r="D12" s="47"/>
      <c r="E12" s="47"/>
      <c r="F12" s="16"/>
      <c r="G12" s="23" t="b">
        <f ca="1">E11 &gt;= 0.02</f>
        <v>1</v>
      </c>
      <c r="H12" s="24" t="b">
        <f ca="1">E11 &gt;= 0.04</f>
        <v>1</v>
      </c>
      <c r="I12" s="24" t="b">
        <f ca="1">E11 &gt;= 0.06</f>
        <v>1</v>
      </c>
      <c r="J12" s="24" t="b">
        <f ca="1">E11 &gt;= 0.08</f>
        <v>1</v>
      </c>
      <c r="K12" s="24" t="b">
        <f ca="1">E11 &gt;= 0.1</f>
        <v>1</v>
      </c>
      <c r="L12" s="24" t="b">
        <f ca="1">E11 &gt;= 0.12</f>
        <v>1</v>
      </c>
      <c r="M12" s="24" t="b">
        <f ca="1">E11 &gt;= 0.14</f>
        <v>1</v>
      </c>
      <c r="N12" s="24" t="b">
        <f ca="1">E11 &gt;= 0.16</f>
        <v>1</v>
      </c>
      <c r="O12" s="24" t="b">
        <f ca="1">E11 &gt;= 0.18</f>
        <v>1</v>
      </c>
      <c r="P12" s="24" t="b">
        <f ca="1">E11 &gt;= 0.2</f>
        <v>1</v>
      </c>
      <c r="Q12" s="24" t="b">
        <f ca="1">E11 &gt;= 0.22</f>
        <v>1</v>
      </c>
      <c r="R12" s="24" t="b">
        <f ca="1">E11 &gt;= 0.24</f>
        <v>1</v>
      </c>
      <c r="S12" s="24" t="b">
        <f ca="1">E11 &gt;= 0.26</f>
        <v>1</v>
      </c>
      <c r="T12" s="24" t="b">
        <f ca="1">E11 &gt;= 0.28</f>
        <v>1</v>
      </c>
      <c r="U12" s="24" t="b">
        <f ca="1">E11 &gt;= 0.3</f>
        <v>1</v>
      </c>
      <c r="V12" s="24" t="b">
        <f ca="1">E11 &gt;= 0.32</f>
        <v>1</v>
      </c>
      <c r="W12" s="24" t="b">
        <f ca="1">E11 &gt;= 0.34</f>
        <v>1</v>
      </c>
      <c r="X12" s="24" t="b">
        <f ca="1">E11 &gt;= 0.36</f>
        <v>1</v>
      </c>
      <c r="Y12" s="24" t="b">
        <f ca="1">E11 &gt;= 0.38</f>
        <v>1</v>
      </c>
      <c r="Z12" s="24" t="b">
        <f ca="1">E11 &gt;= 0.4</f>
        <v>1</v>
      </c>
      <c r="AA12" s="24" t="b">
        <f ca="1">E11 &gt;= 0.42</f>
        <v>1</v>
      </c>
      <c r="AB12" s="24" t="b">
        <f ca="1">E11 &gt;= 0.44</f>
        <v>1</v>
      </c>
      <c r="AC12" s="24" t="b">
        <f ca="1">E11 &gt;= 0.46</f>
        <v>1</v>
      </c>
      <c r="AD12" s="24" t="b">
        <f ca="1">E11 &gt;= 0.48</f>
        <v>1</v>
      </c>
      <c r="AE12" s="24" t="b">
        <f ca="1">E11 &gt;= 0.5</f>
        <v>1</v>
      </c>
      <c r="AF12" s="24" t="b">
        <f ca="1">E11 &gt;= 0.52</f>
        <v>1</v>
      </c>
      <c r="AG12" s="24" t="b">
        <f ca="1">E11 &gt;= 0.54</f>
        <v>1</v>
      </c>
      <c r="AH12" s="24" t="b">
        <f ca="1">E11 &gt;= 0.56</f>
        <v>1</v>
      </c>
      <c r="AI12" s="24" t="b">
        <f ca="1">E11 &gt;= 0.58</f>
        <v>1</v>
      </c>
      <c r="AJ12" s="24" t="b">
        <f ca="1">E11 &gt;= 0.6</f>
        <v>1</v>
      </c>
      <c r="AK12" s="24" t="b">
        <f ca="1">E11 &gt;= 0.62</f>
        <v>1</v>
      </c>
      <c r="AL12" s="24" t="b">
        <f ca="1">E11 &gt;= 0.64</f>
        <v>1</v>
      </c>
      <c r="AM12" s="24" t="b">
        <f ca="1">E11 &gt;= 0.66</f>
        <v>1</v>
      </c>
      <c r="AN12" s="24" t="b">
        <f ca="1">E11 &gt;= 0.68</f>
        <v>1</v>
      </c>
      <c r="AO12" s="24" t="b">
        <f ca="1">E11 &gt;= 0.7</f>
        <v>1</v>
      </c>
      <c r="AP12" s="24" t="b">
        <f ca="1">E11 &gt;= 0.72</f>
        <v>1</v>
      </c>
      <c r="AQ12" s="24" t="b">
        <f ca="1">E11 &gt;= 0.74</f>
        <v>1</v>
      </c>
      <c r="AR12" s="24" t="b">
        <f ca="1">E11 &gt;= 0.76</f>
        <v>1</v>
      </c>
      <c r="AS12" s="24" t="b">
        <f ca="1">E11 &gt;= 0.78</f>
        <v>1</v>
      </c>
      <c r="AT12" s="24" t="b">
        <f ca="1">E11 &gt;= 0.8</f>
        <v>1</v>
      </c>
      <c r="AU12" s="24" t="b">
        <f ca="1">E11 &gt;= 0.82</f>
        <v>1</v>
      </c>
      <c r="AV12" s="24" t="b">
        <f ca="1">E11 &gt;= 0.84</f>
        <v>1</v>
      </c>
      <c r="AW12" s="24" t="b">
        <f ca="1">E11 &gt;= 0.86</f>
        <v>1</v>
      </c>
      <c r="AX12" s="24" t="b">
        <f ca="1">E11 &gt;= 0.88</f>
        <v>1</v>
      </c>
      <c r="AY12" s="24" t="b">
        <f ca="1">E11 &gt;= 0.9</f>
        <v>1</v>
      </c>
      <c r="AZ12" s="24" t="b">
        <f ca="1">E11 &gt;= 0.92</f>
        <v>1</v>
      </c>
      <c r="BA12" s="24" t="b">
        <f ca="1">E11 &gt;= 0.94</f>
        <v>1</v>
      </c>
      <c r="BB12" s="24" t="b">
        <f ca="1">E11 &gt;= 0.96</f>
        <v>1</v>
      </c>
      <c r="BC12" s="24" t="b">
        <f ca="1">E11 &gt;= 0.98</f>
        <v>1</v>
      </c>
      <c r="BD12" s="25" t="b">
        <f ca="1">E11 &gt;= 1</f>
        <v>1</v>
      </c>
      <c r="BE12" s="21"/>
      <c r="BF12" s="48"/>
    </row>
    <row r="13" spans="2:58" x14ac:dyDescent="0.35">
      <c r="B13" s="46"/>
      <c r="C13" s="47"/>
      <c r="D13" s="47"/>
      <c r="E13" s="47"/>
      <c r="F13" s="17"/>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22"/>
      <c r="BF13" s="48"/>
    </row>
    <row r="14" spans="2:58" ht="18" x14ac:dyDescent="0.35">
      <c r="B14" s="50" t="s">
        <v>6</v>
      </c>
      <c r="C14" s="52">
        <f>SUM(C11:C13)</f>
        <v>19</v>
      </c>
      <c r="D14" s="52"/>
      <c r="E14" s="52">
        <f ca="1">IF($C$14=0,1,SUMPRODUCT(C11:C13, E11:E13) / $C$14)</f>
        <v>1</v>
      </c>
      <c r="F14" s="27"/>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9"/>
      <c r="BF14" s="44"/>
    </row>
    <row r="15" spans="2:58" ht="18" x14ac:dyDescent="0.35">
      <c r="B15" s="51"/>
      <c r="C15" s="53"/>
      <c r="D15" s="53"/>
      <c r="E15" s="53"/>
      <c r="F15" s="30"/>
      <c r="G15" s="31" t="b">
        <f ca="1">E14 &gt;= 0.02</f>
        <v>1</v>
      </c>
      <c r="H15" s="32" t="b">
        <f ca="1">E14 &gt;= 0.04</f>
        <v>1</v>
      </c>
      <c r="I15" s="32" t="b">
        <f ca="1">E14 &gt;= 0.06</f>
        <v>1</v>
      </c>
      <c r="J15" s="32" t="b">
        <f ca="1">E14 &gt;= 0.08</f>
        <v>1</v>
      </c>
      <c r="K15" s="32" t="b">
        <f ca="1">E14 &gt;= 0.1</f>
        <v>1</v>
      </c>
      <c r="L15" s="32" t="b">
        <f ca="1">E14 &gt;= 0.12</f>
        <v>1</v>
      </c>
      <c r="M15" s="32" t="b">
        <f ca="1">E14 &gt;= 0.14</f>
        <v>1</v>
      </c>
      <c r="N15" s="32" t="b">
        <f ca="1">E14 &gt;= 0.16</f>
        <v>1</v>
      </c>
      <c r="O15" s="32" t="b">
        <f ca="1">E14 &gt;= 0.18</f>
        <v>1</v>
      </c>
      <c r="P15" s="32" t="b">
        <f ca="1">E14 &gt;= 0.2</f>
        <v>1</v>
      </c>
      <c r="Q15" s="32" t="b">
        <f ca="1">E14 &gt;= 0.22</f>
        <v>1</v>
      </c>
      <c r="R15" s="32" t="b">
        <f ca="1">E14 &gt;= 0.24</f>
        <v>1</v>
      </c>
      <c r="S15" s="32" t="b">
        <f ca="1">E14 &gt;= 0.26</f>
        <v>1</v>
      </c>
      <c r="T15" s="32" t="b">
        <f ca="1">E14 &gt;= 0.28</f>
        <v>1</v>
      </c>
      <c r="U15" s="32" t="b">
        <f ca="1">E14 &gt;= 0.3</f>
        <v>1</v>
      </c>
      <c r="V15" s="32" t="b">
        <f ca="1">E14 &gt;= 0.32</f>
        <v>1</v>
      </c>
      <c r="W15" s="32" t="b">
        <f ca="1">E14 &gt;= 0.34</f>
        <v>1</v>
      </c>
      <c r="X15" s="32" t="b">
        <f ca="1">E14 &gt;= 0.36</f>
        <v>1</v>
      </c>
      <c r="Y15" s="32" t="b">
        <f ca="1">E14 &gt;= 0.38</f>
        <v>1</v>
      </c>
      <c r="Z15" s="32" t="b">
        <f ca="1">E14 &gt;= 0.4</f>
        <v>1</v>
      </c>
      <c r="AA15" s="32" t="b">
        <f ca="1">E14 &gt;= 0.42</f>
        <v>1</v>
      </c>
      <c r="AB15" s="32" t="b">
        <f ca="1">E14 &gt;= 0.44</f>
        <v>1</v>
      </c>
      <c r="AC15" s="32" t="b">
        <f ca="1">E14 &gt;= 0.46</f>
        <v>1</v>
      </c>
      <c r="AD15" s="32" t="b">
        <f ca="1">E14 &gt;= 0.48</f>
        <v>1</v>
      </c>
      <c r="AE15" s="32" t="b">
        <f ca="1">E14 &gt;= 0.5</f>
        <v>1</v>
      </c>
      <c r="AF15" s="32" t="b">
        <f ca="1">E14 &gt;= 0.52</f>
        <v>1</v>
      </c>
      <c r="AG15" s="32" t="b">
        <f ca="1">E14 &gt;= 0.54</f>
        <v>1</v>
      </c>
      <c r="AH15" s="32" t="b">
        <f ca="1">E14 &gt;= 0.56</f>
        <v>1</v>
      </c>
      <c r="AI15" s="32" t="b">
        <f ca="1">E14 &gt;= 0.58</f>
        <v>1</v>
      </c>
      <c r="AJ15" s="32" t="b">
        <f ca="1">E14 &gt;= 0.6</f>
        <v>1</v>
      </c>
      <c r="AK15" s="32" t="b">
        <f ca="1">E14 &gt;= 0.62</f>
        <v>1</v>
      </c>
      <c r="AL15" s="32" t="b">
        <f ca="1">E14 &gt;= 0.64</f>
        <v>1</v>
      </c>
      <c r="AM15" s="32" t="b">
        <f ca="1">E14 &gt;= 0.66</f>
        <v>1</v>
      </c>
      <c r="AN15" s="32" t="b">
        <f ca="1">E14 &gt;= 0.68</f>
        <v>1</v>
      </c>
      <c r="AO15" s="32" t="b">
        <f ca="1">E14 &gt;= 0.7</f>
        <v>1</v>
      </c>
      <c r="AP15" s="32" t="b">
        <f ca="1">E14 &gt;= 0.72</f>
        <v>1</v>
      </c>
      <c r="AQ15" s="32" t="b">
        <f ca="1">E14 &gt;= 0.74</f>
        <v>1</v>
      </c>
      <c r="AR15" s="32" t="b">
        <f ca="1">E14 &gt;= 0.76</f>
        <v>1</v>
      </c>
      <c r="AS15" s="32" t="b">
        <f ca="1">E14 &gt;= 0.78</f>
        <v>1</v>
      </c>
      <c r="AT15" s="32" t="b">
        <f ca="1">E14 &gt;= 0.8</f>
        <v>1</v>
      </c>
      <c r="AU15" s="32" t="b">
        <f ca="1">E14 &gt;= 0.82</f>
        <v>1</v>
      </c>
      <c r="AV15" s="32" t="b">
        <f ca="1">E14 &gt;= 0.84</f>
        <v>1</v>
      </c>
      <c r="AW15" s="32" t="b">
        <f ca="1">E14 &gt;= 0.86</f>
        <v>1</v>
      </c>
      <c r="AX15" s="32" t="b">
        <f ca="1">E14 &gt;= 0.88</f>
        <v>1</v>
      </c>
      <c r="AY15" s="32" t="b">
        <f ca="1">E14 &gt;= 0.9</f>
        <v>1</v>
      </c>
      <c r="AZ15" s="32" t="b">
        <f ca="1">E14 &gt;= 0.92</f>
        <v>1</v>
      </c>
      <c r="BA15" s="32" t="b">
        <f ca="1">E14 &gt;= 0.94</f>
        <v>1</v>
      </c>
      <c r="BB15" s="32" t="b">
        <f ca="1">E14 &gt;= 0.96</f>
        <v>1</v>
      </c>
      <c r="BC15" s="32" t="b">
        <f ca="1">E14 &gt;= 0.98</f>
        <v>1</v>
      </c>
      <c r="BD15" s="33" t="b">
        <f ca="1">E14 &gt;= 1</f>
        <v>1</v>
      </c>
      <c r="BE15" s="34"/>
      <c r="BF15" s="45"/>
    </row>
    <row r="16" spans="2:58" ht="18" x14ac:dyDescent="0.35">
      <c r="B16" s="51"/>
      <c r="C16" s="53"/>
      <c r="D16" s="53"/>
      <c r="E16" s="53"/>
      <c r="F16" s="35"/>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7"/>
      <c r="BF16" s="45"/>
    </row>
  </sheetData>
  <sheetProtection password="E36C" sheet="1" objects="1" scenarios="1" insertHyperlinks="0"/>
  <mergeCells count="11">
    <mergeCell ref="F10:BE10"/>
    <mergeCell ref="B14:B16"/>
    <mergeCell ref="C14:C16"/>
    <mergeCell ref="D14:D16"/>
    <mergeCell ref="E14:E16"/>
    <mergeCell ref="BF14:BF16"/>
    <mergeCell ref="B11:B13"/>
    <mergeCell ref="C11:C13"/>
    <mergeCell ref="D11:D13"/>
    <mergeCell ref="E11:E13"/>
    <mergeCell ref="BF11:BF13"/>
  </mergeCells>
  <conditionalFormatting sqref="B11:BF13">
    <cfRule type="expression" dxfId="19" priority="8">
      <formula>OR(IF(ISNUMBER($B11),MOD($B11,2)=1,FALSE),IF(ISNUMBER($B10),MOD($B10,2)=1,FALSE),IF(ISNUMBER($B9),MOD($B9,2)=1,FALSE))</formula>
    </cfRule>
  </conditionalFormatting>
  <conditionalFormatting sqref="E11:E16">
    <cfRule type="expression" dxfId="18" priority="5">
      <formula>TRUE</formula>
    </cfRule>
  </conditionalFormatting>
  <conditionalFormatting sqref="G12:BD12">
    <cfRule type="expression" dxfId="17" priority="1">
      <formula>G$12</formula>
    </cfRule>
    <cfRule type="expression" dxfId="16" priority="2">
      <formula>NOT(G$12)</formula>
    </cfRule>
  </conditionalFormatting>
  <conditionalFormatting sqref="G15:BD15">
    <cfRule type="expression" dxfId="15" priority="3">
      <formula>G$15</formula>
    </cfRule>
    <cfRule type="expression" dxfId="14" priority="4">
      <formula>NOT(G$15)</formula>
    </cfRule>
  </conditionalFormatting>
  <conditionalFormatting sqref="BF11:BF13">
    <cfRule type="expression" dxfId="13" priority="6">
      <formula>$BF11 ="Complete: no errors"</formula>
    </cfRule>
    <cfRule type="expression" dxfId="12" priority="7">
      <formula>$BF11 = "Errors present"</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3"/>
  <sheetViews>
    <sheetView showRowColHeaders="0" tabSelected="1" topLeftCell="C1" zoomScale="90" zoomScaleNormal="90" workbookViewId="0">
      <pane ySplit="10" topLeftCell="A11" activePane="bottomLeft" state="frozen"/>
      <selection pane="bottomLeft" activeCell="G27" sqref="G27"/>
    </sheetView>
  </sheetViews>
  <sheetFormatPr defaultRowHeight="15.5" x14ac:dyDescent="0.35"/>
  <cols>
    <col min="2" max="2" width="9.07421875" hidden="1"/>
    <col min="3" max="3" width="10" customWidth="1"/>
    <col min="4" max="4" width="66" customWidth="1"/>
    <col min="5" max="5" width="9.07421875" hidden="1"/>
    <col min="6" max="6" width="25" customWidth="1"/>
    <col min="7" max="7" width="66" customWidth="1"/>
    <col min="8" max="8" width="40" customWidth="1"/>
    <col min="9" max="9" width="9.07421875" hidden="1"/>
  </cols>
  <sheetData>
    <row r="2" spans="2:9" ht="28" x14ac:dyDescent="0.35">
      <c r="C2" s="2" t="s">
        <v>14</v>
      </c>
    </row>
    <row r="3" spans="2:9" hidden="1" x14ac:dyDescent="0.35"/>
    <row r="4" spans="2:9" hidden="1" x14ac:dyDescent="0.35"/>
    <row r="5" spans="2:9" hidden="1" x14ac:dyDescent="0.35"/>
    <row r="6" spans="2:9" hidden="1" x14ac:dyDescent="0.35"/>
    <row r="7" spans="2:9" hidden="1" x14ac:dyDescent="0.35"/>
    <row r="8" spans="2:9" hidden="1" x14ac:dyDescent="0.35"/>
    <row r="10" spans="2:9" ht="32" customHeight="1" x14ac:dyDescent="0.35">
      <c r="C10" s="5" t="s">
        <v>15</v>
      </c>
      <c r="D10" s="5" t="s">
        <v>16</v>
      </c>
      <c r="E10" s="5" t="s">
        <v>10</v>
      </c>
      <c r="F10" s="6" t="s">
        <v>17</v>
      </c>
      <c r="G10" s="6" t="s">
        <v>18</v>
      </c>
      <c r="H10" s="6" t="s">
        <v>19</v>
      </c>
      <c r="I10" t="s">
        <v>10</v>
      </c>
    </row>
    <row r="11" spans="2:9" ht="20" customHeight="1" x14ac:dyDescent="0.35">
      <c r="B11" s="1"/>
      <c r="C11" s="54" t="s">
        <v>20</v>
      </c>
      <c r="D11" s="55"/>
      <c r="E11" s="56"/>
      <c r="F11" s="9"/>
      <c r="G11" s="10"/>
      <c r="H11" s="14" t="str">
        <f>IF(AND(ISBLANK(F11),ISBLANK(G11)),"?", "Anything entered in this row will be ignored")</f>
        <v>?</v>
      </c>
      <c r="I11" s="1">
        <v>-1</v>
      </c>
    </row>
    <row r="12" spans="2:9" ht="201.5" x14ac:dyDescent="0.35">
      <c r="B12" s="1">
        <v>1257726</v>
      </c>
      <c r="C12" s="3" t="s">
        <v>21</v>
      </c>
      <c r="D12" s="13" t="s">
        <v>22</v>
      </c>
      <c r="E12" s="4"/>
      <c r="F12" s="7" t="s">
        <v>62</v>
      </c>
      <c r="G12" s="8" t="s">
        <v>78</v>
      </c>
      <c r="H12" s="14" t="str">
        <f ca="1">IF(AND(ISNA(MATCH(OFFSET($H12,0,-2)&amp;"",responseOption0,0)),NOT(TRIM(OFFSET($H12,0,-2)) = "")),"Response must be one of "&amp;INDEX(responseValidationRulesGroup0,4,1),IF(AND(IF(ISNA(INDEX(responseValidationRulesGroup0,MATCH(OFFSET($H12,0,-2)&amp;"",responseOption0,0),2)),FALSE,INDEX(responseValidationRulesGroup0,MATCH(OFFSET($H12,0,-2)&amp;"",responseOption0,0),2)),TRIM(OFFSET($H12,0,-1)) = ""),"A comment is required for this response",IF(IF(ISNA(INDEX(responseValidationRulesGroup0,MATCH(OFFSET($H12,0,-2)&amp;"",responseOption0,0),3)),FALSE,INDEX(responseValidationRulesGroup0,MATCH(OFFSET($H12,0,-2)&amp;"",responseOption0,0),3)),IF(TRIM(OFFSET($H12,0,-1)) = "","Complete","The comment must be left blank for this response"),IF(TRIM(OFFSET($H12,0,-2))="","Incomplete", "Complete"))))</f>
        <v>Complete</v>
      </c>
      <c r="I12" s="1">
        <v>1</v>
      </c>
    </row>
    <row r="13" spans="2:9" ht="108.5" x14ac:dyDescent="0.35">
      <c r="B13" s="1">
        <v>1257730</v>
      </c>
      <c r="C13" s="3" t="s">
        <v>23</v>
      </c>
      <c r="D13" s="13" t="s">
        <v>24</v>
      </c>
      <c r="E13" s="4"/>
      <c r="F13" s="7" t="s">
        <v>82</v>
      </c>
      <c r="G13" s="8"/>
      <c r="H13" s="14" t="str">
        <f ca="1">IF(AND(
            OR(OFFSET($H13,0,-2) = "-",OFFSET($H13,0,-2) = ""),OFFSET($H13,0,-1) = ""),"Incomplete","Complete")</f>
        <v>Complete</v>
      </c>
      <c r="I13" s="1">
        <v>0</v>
      </c>
    </row>
    <row r="14" spans="2:9" ht="224" x14ac:dyDescent="0.35">
      <c r="B14" s="1">
        <v>1257731</v>
      </c>
      <c r="C14" s="3" t="s">
        <v>25</v>
      </c>
      <c r="D14" s="13" t="s">
        <v>26</v>
      </c>
      <c r="E14" s="4"/>
      <c r="F14" s="38" t="s">
        <v>88</v>
      </c>
      <c r="G14" s="8"/>
      <c r="H14" s="14" t="str">
        <f ca="1">IF(AND(
            OR(OFFSET($H14,0,-2) = "-",OFFSET($H14,0,-2) = ""),OFFSET($H14,0,-1) = ""),"Incomplete","Complete")</f>
        <v>Complete</v>
      </c>
      <c r="I14" s="1">
        <v>1</v>
      </c>
    </row>
    <row r="15" spans="2:9" ht="77.5" x14ac:dyDescent="0.35">
      <c r="B15" s="1">
        <v>1254674</v>
      </c>
      <c r="C15" s="3" t="s">
        <v>27</v>
      </c>
      <c r="D15" s="13" t="s">
        <v>28</v>
      </c>
      <c r="E15" s="4"/>
      <c r="F15" s="7" t="s">
        <v>79</v>
      </c>
      <c r="G15" s="8"/>
      <c r="H15" s="14" t="str">
        <f ca="1">IF(AND(
            OR(OFFSET($H15,0,-2) = "-",OFFSET($H15,0,-2) = ""),OFFSET($H15,0,-1) = ""),"Incomplete","Complete")</f>
        <v>Complete</v>
      </c>
      <c r="I15" s="1">
        <v>0</v>
      </c>
    </row>
    <row r="16" spans="2:9" ht="20" customHeight="1" x14ac:dyDescent="0.35">
      <c r="B16" s="1"/>
      <c r="C16" s="54" t="s">
        <v>29</v>
      </c>
      <c r="D16" s="55"/>
      <c r="E16" s="56"/>
      <c r="F16" s="9"/>
      <c r="G16" s="10"/>
      <c r="H16" s="14" t="str">
        <f>IF(AND(ISBLANK(F16),ISBLANK(G16)),"?", "Anything entered in this row will be ignored")</f>
        <v>?</v>
      </c>
      <c r="I16" s="1">
        <v>-1</v>
      </c>
    </row>
    <row r="17" spans="2:9" ht="409.5" x14ac:dyDescent="0.35">
      <c r="B17" s="1">
        <v>1257715</v>
      </c>
      <c r="C17" s="3" t="s">
        <v>30</v>
      </c>
      <c r="D17" s="13" t="s">
        <v>31</v>
      </c>
      <c r="E17" s="4"/>
      <c r="F17" s="7" t="s">
        <v>84</v>
      </c>
      <c r="G17" s="8"/>
      <c r="H17" s="14" t="str">
        <f ca="1">IF(AND(
            OR(OFFSET($H17,0,-2) = "-",OFFSET($H17,0,-2) = ""),OFFSET($H17,0,-1) = ""),"Incomplete","Complete")</f>
        <v>Complete</v>
      </c>
      <c r="I17" s="1">
        <v>1</v>
      </c>
    </row>
    <row r="18" spans="2:9" ht="20" customHeight="1" x14ac:dyDescent="0.35">
      <c r="B18" s="1"/>
      <c r="C18" s="54" t="s">
        <v>32</v>
      </c>
      <c r="D18" s="55"/>
      <c r="E18" s="56"/>
      <c r="F18" s="9"/>
      <c r="G18" s="10"/>
      <c r="H18" s="14" t="str">
        <f>IF(AND(ISBLANK(F18),ISBLANK(G18)),"?", "Anything entered in this row will be ignored")</f>
        <v>?</v>
      </c>
      <c r="I18" s="1">
        <v>-1</v>
      </c>
    </row>
    <row r="19" spans="2:9" ht="46.5" x14ac:dyDescent="0.35">
      <c r="B19" s="1">
        <v>1257733</v>
      </c>
      <c r="C19" s="3" t="s">
        <v>33</v>
      </c>
      <c r="D19" s="13" t="s">
        <v>34</v>
      </c>
      <c r="E19" s="4"/>
      <c r="F19" s="7" t="s">
        <v>65</v>
      </c>
      <c r="G19" s="8"/>
      <c r="H19" s="14" t="str">
        <f ca="1">IF(AND(ISNA(MATCH(OFFSET($H19,0,-2)&amp;"",responseOption1,0)),NOT(TRIM(OFFSET($H19,0,-2)) = "")),"Response must be one of "&amp;INDEX(responseValidationRulesGroup1,3,1),IF(AND(IF(ISNA(INDEX(responseValidationRulesGroup1,MATCH(OFFSET($H19,0,-2)&amp;"",responseOption1,0),2)),FALSE,INDEX(responseValidationRulesGroup1,MATCH(OFFSET($H19,0,-2)&amp;"",responseOption1,0),2)),TRIM(OFFSET($H19,0,-1)) = ""),"A comment is required for this response",IF(IF(ISNA(INDEX(responseValidationRulesGroup1,MATCH(OFFSET($H19,0,-2)&amp;"",responseOption1,0),3)),FALSE,INDEX(responseValidationRulesGroup1,MATCH(OFFSET($H19,0,-2)&amp;"",responseOption1,0),3)),IF(TRIM(OFFSET($H19,0,-1)) = "","Complete","The comment must be left blank for this response"),IF(TRIM(OFFSET($H19,0,-2))="","Incomplete", "Complete"))))</f>
        <v>Complete</v>
      </c>
      <c r="I19" s="1">
        <v>1</v>
      </c>
    </row>
    <row r="20" spans="2:9" ht="46.5" x14ac:dyDescent="0.35">
      <c r="B20" s="1">
        <v>1257734</v>
      </c>
      <c r="C20" s="3" t="s">
        <v>35</v>
      </c>
      <c r="D20" s="13" t="s">
        <v>36</v>
      </c>
      <c r="E20" s="4"/>
      <c r="F20" s="7" t="s">
        <v>66</v>
      </c>
      <c r="G20" s="8"/>
      <c r="H20" s="14" t="str">
        <f ca="1">IF(AND(ISNA(MATCH(OFFSET($H20,0,-2)&amp;"",responseOption1,0)),NOT(TRIM(OFFSET($H20,0,-2)) = "")),"Response must be one of "&amp;INDEX(responseValidationRulesGroup1,3,1),IF(AND(IF(ISNA(INDEX(responseValidationRulesGroup1,MATCH(OFFSET($H20,0,-2)&amp;"",responseOption1,0),2)),FALSE,INDEX(responseValidationRulesGroup1,MATCH(OFFSET($H20,0,-2)&amp;"",responseOption1,0),2)),TRIM(OFFSET($H20,0,-1)) = ""),"A comment is required for this response",IF(IF(ISNA(INDEX(responseValidationRulesGroup1,MATCH(OFFSET($H20,0,-2)&amp;"",responseOption1,0),3)),FALSE,INDEX(responseValidationRulesGroup1,MATCH(OFFSET($H20,0,-2)&amp;"",responseOption1,0),3)),IF(TRIM(OFFSET($H20,0,-1)) = "","Complete","The comment must be left blank for this response"),IF(TRIM(OFFSET($H20,0,-2))="","Incomplete", "Complete"))))</f>
        <v>Complete</v>
      </c>
      <c r="I20" s="1">
        <v>0</v>
      </c>
    </row>
    <row r="21" spans="2:9" ht="62" x14ac:dyDescent="0.35">
      <c r="B21" s="1">
        <v>1257738</v>
      </c>
      <c r="C21" s="3" t="s">
        <v>37</v>
      </c>
      <c r="D21" s="13" t="s">
        <v>38</v>
      </c>
      <c r="E21" s="4"/>
      <c r="F21" s="7" t="s">
        <v>66</v>
      </c>
      <c r="G21" s="8"/>
      <c r="H21" s="14" t="str">
        <f ca="1">IF(AND(ISNA(MATCH(OFFSET($H21,0,-2)&amp;"",responseOption2,0)),NOT(TRIM(OFFSET($H21,0,-2)) = "")),"Response must be one of "&amp;INDEX(responseValidationRulesGroup2,3,1),IF(AND(IF(ISNA(INDEX(responseValidationRulesGroup2,MATCH(OFFSET($H21,0,-2)&amp;"",responseOption2,0),2)),FALSE,INDEX(responseValidationRulesGroup2,MATCH(OFFSET($H21,0,-2)&amp;"",responseOption2,0),2)),TRIM(OFFSET($H21,0,-1)) = ""),"A comment is required for this response",IF(IF(ISNA(INDEX(responseValidationRulesGroup2,MATCH(OFFSET($H21,0,-2)&amp;"",responseOption2,0),3)),FALSE,INDEX(responseValidationRulesGroup2,MATCH(OFFSET($H21,0,-2)&amp;"",responseOption2,0),3)),IF(TRIM(OFFSET($H21,0,-1)) = "","Complete","The comment must be left blank for this response"),IF(TRIM(OFFSET($H21,0,-2))="","Incomplete", "Complete"))))</f>
        <v>Complete</v>
      </c>
      <c r="I21" s="1">
        <v>1</v>
      </c>
    </row>
    <row r="22" spans="2:9" ht="46.5" x14ac:dyDescent="0.35">
      <c r="B22" s="1">
        <v>1257740</v>
      </c>
      <c r="C22" s="3" t="s">
        <v>39</v>
      </c>
      <c r="D22" s="13" t="s">
        <v>40</v>
      </c>
      <c r="E22" s="4"/>
      <c r="F22" s="7" t="s">
        <v>66</v>
      </c>
      <c r="G22" s="8"/>
      <c r="H22" s="14" t="str">
        <f ca="1">IF(AND(ISNA(MATCH(OFFSET($H22,0,-2)&amp;"",responseOption3,0)),NOT(TRIM(OFFSET($H22,0,-2)) = "")),"Response must be one of "&amp;INDEX(responseValidationRulesGroup3,3,1),IF(AND(IF(ISNA(INDEX(responseValidationRulesGroup3,MATCH(OFFSET($H22,0,-2)&amp;"",responseOption3,0),2)),FALSE,INDEX(responseValidationRulesGroup3,MATCH(OFFSET($H22,0,-2)&amp;"",responseOption3,0),2)),TRIM(OFFSET($H22,0,-1)) = ""),"A comment is required for this response",IF(IF(ISNA(INDEX(responseValidationRulesGroup3,MATCH(OFFSET($H22,0,-2)&amp;"",responseOption3,0),3)),FALSE,INDEX(responseValidationRulesGroup3,MATCH(OFFSET($H22,0,-2)&amp;"",responseOption3,0),3)),IF(TRIM(OFFSET($H22,0,-1)) = "","Complete","The comment must be left blank for this response"),IF(TRIM(OFFSET($H22,0,-2))="","Incomplete", "Complete"))))</f>
        <v>Complete</v>
      </c>
      <c r="I22" s="1">
        <v>0</v>
      </c>
    </row>
    <row r="23" spans="2:9" ht="62" x14ac:dyDescent="0.35">
      <c r="B23" s="1">
        <v>1258124</v>
      </c>
      <c r="C23" s="3" t="s">
        <v>41</v>
      </c>
      <c r="D23" s="13" t="s">
        <v>42</v>
      </c>
      <c r="E23" s="4"/>
      <c r="F23" s="7" t="s">
        <v>66</v>
      </c>
      <c r="G23" s="8"/>
      <c r="H23" s="14" t="str">
        <f ca="1">IF(AND(ISNA(MATCH(OFFSET($H23,0,-2)&amp;"",responseOption4,0)),NOT(TRIM(OFFSET($H23,0,-2)) = "")),"Response must be one of "&amp;INDEX(responseValidationRulesGroup4,3,1),IF(AND(IF(ISNA(INDEX(responseValidationRulesGroup4,MATCH(OFFSET($H23,0,-2)&amp;"",responseOption4,0),2)),FALSE,INDEX(responseValidationRulesGroup4,MATCH(OFFSET($H23,0,-2)&amp;"",responseOption4,0),2)),TRIM(OFFSET($H23,0,-1)) = ""),"A comment is required for this response",IF(IF(ISNA(INDEX(responseValidationRulesGroup4,MATCH(OFFSET($H23,0,-2)&amp;"",responseOption4,0),3)),FALSE,INDEX(responseValidationRulesGroup4,MATCH(OFFSET($H23,0,-2)&amp;"",responseOption4,0),3)),IF(TRIM(OFFSET($H23,0,-1)) = "","Complete","The comment must be left blank for this response"),IF(TRIM(OFFSET($H23,0,-2))="","Incomplete", "Complete"))))</f>
        <v>Complete</v>
      </c>
      <c r="I23" s="1">
        <v>1</v>
      </c>
    </row>
    <row r="24" spans="2:9" ht="310" x14ac:dyDescent="0.35">
      <c r="B24" s="1">
        <v>1258128</v>
      </c>
      <c r="C24" s="3" t="s">
        <v>43</v>
      </c>
      <c r="D24" s="13" t="s">
        <v>44</v>
      </c>
      <c r="E24" s="4"/>
      <c r="F24" s="7" t="s">
        <v>83</v>
      </c>
      <c r="G24" s="8"/>
      <c r="H24" s="14" t="str">
        <f ca="1">IF(AND(
            OR(OFFSET($H24,0,-2) = "-",OFFSET($H24,0,-2) = ""),OFFSET($H24,0,-1) = ""),"Incomplete","Complete")</f>
        <v>Complete</v>
      </c>
      <c r="I24" s="1">
        <v>0</v>
      </c>
    </row>
    <row r="25" spans="2:9" ht="232.5" x14ac:dyDescent="0.35">
      <c r="B25" s="1">
        <v>1258129</v>
      </c>
      <c r="C25" s="3" t="s">
        <v>45</v>
      </c>
      <c r="D25" s="13" t="s">
        <v>46</v>
      </c>
      <c r="E25" s="4"/>
      <c r="F25" s="7" t="s">
        <v>85</v>
      </c>
      <c r="G25" s="8"/>
      <c r="H25" s="14" t="str">
        <f ca="1">IF(AND(
            OR(OFFSET($H25,0,-2) = "-",OFFSET($H25,0,-2) = ""),OFFSET($H25,0,-1) = ""),"Incomplete","Complete")</f>
        <v>Complete</v>
      </c>
      <c r="I25" s="1">
        <v>1</v>
      </c>
    </row>
    <row r="26" spans="2:9" ht="62" x14ac:dyDescent="0.35">
      <c r="B26" s="1">
        <v>1258132</v>
      </c>
      <c r="C26" s="3" t="s">
        <v>47</v>
      </c>
      <c r="D26" s="13" t="s">
        <v>48</v>
      </c>
      <c r="E26" s="4"/>
      <c r="F26" s="7" t="s">
        <v>66</v>
      </c>
      <c r="G26" s="8"/>
      <c r="H26" s="14" t="str">
        <f ca="1">IF(AND(ISNA(MATCH(OFFSET($H26,0,-2)&amp;"",responseOption5,0)),NOT(TRIM(OFFSET($H26,0,-2)) = "")),"Response must be one of "&amp;INDEX(responseValidationRulesGroup5,3,1),IF(AND(IF(ISNA(INDEX(responseValidationRulesGroup5,MATCH(OFFSET($H26,0,-2)&amp;"",responseOption5,0),2)),FALSE,INDEX(responseValidationRulesGroup5,MATCH(OFFSET($H26,0,-2)&amp;"",responseOption5,0),2)),TRIM(OFFSET($H26,0,-1)) = ""),"A comment is required for this response",IF(IF(ISNA(INDEX(responseValidationRulesGroup5,MATCH(OFFSET($H26,0,-2)&amp;"",responseOption5,0),3)),FALSE,INDEX(responseValidationRulesGroup5,MATCH(OFFSET($H26,0,-2)&amp;"",responseOption5,0),3)),IF(TRIM(OFFSET($H26,0,-1)) = "","Complete","The comment must be left blank for this response"),IF(TRIM(OFFSET($H26,0,-2))="","Incomplete", "Complete"))))</f>
        <v>Complete</v>
      </c>
      <c r="I26" s="1">
        <v>0</v>
      </c>
    </row>
    <row r="27" spans="2:9" ht="77.5" x14ac:dyDescent="0.35">
      <c r="B27" s="1">
        <v>1258137</v>
      </c>
      <c r="C27" s="3" t="s">
        <v>49</v>
      </c>
      <c r="D27" s="13" t="s">
        <v>50</v>
      </c>
      <c r="E27" s="4"/>
      <c r="F27" s="7" t="s">
        <v>90</v>
      </c>
      <c r="G27" s="8"/>
      <c r="H27" s="14" t="str">
        <f ca="1">IF(AND(
            OR(OFFSET($H27,0,-2) = "-",OFFSET($H27,0,-2) = ""),OFFSET($H27,0,-1) = ""),"Incomplete","Complete")</f>
        <v>Complete</v>
      </c>
      <c r="I27" s="1">
        <v>1</v>
      </c>
    </row>
    <row r="28" spans="2:9" ht="263.5" x14ac:dyDescent="0.35">
      <c r="B28" s="1">
        <v>1258139</v>
      </c>
      <c r="C28" s="3" t="s">
        <v>51</v>
      </c>
      <c r="D28" s="13" t="s">
        <v>52</v>
      </c>
      <c r="E28" s="4"/>
      <c r="F28" s="39" t="s">
        <v>81</v>
      </c>
      <c r="G28" s="8"/>
      <c r="H28" s="14" t="str">
        <f ca="1">IF(AND(
            OR(OFFSET($H28,0,-2) = "-",OFFSET($H28,0,-2) = ""),OFFSET($H28,0,-1) = ""),"Incomplete","Complete")</f>
        <v>Complete</v>
      </c>
      <c r="I28" s="1">
        <v>0</v>
      </c>
    </row>
    <row r="29" spans="2:9" ht="108.5" x14ac:dyDescent="0.35">
      <c r="B29" s="1">
        <v>1258141</v>
      </c>
      <c r="C29" s="3" t="s">
        <v>53</v>
      </c>
      <c r="D29" s="13" t="s">
        <v>54</v>
      </c>
      <c r="E29" s="4"/>
      <c r="F29" s="7" t="s">
        <v>89</v>
      </c>
      <c r="G29" s="8"/>
      <c r="H29" s="14" t="str">
        <f ca="1">IF(AND(
            OR(OFFSET($H29,0,-2) = "-",OFFSET($H29,0,-2) = ""),OFFSET($H29,0,-1) = ""),"Incomplete","Complete")</f>
        <v>Complete</v>
      </c>
      <c r="I29" s="1">
        <v>1</v>
      </c>
    </row>
    <row r="30" spans="2:9" ht="77.5" x14ac:dyDescent="0.35">
      <c r="B30" s="1">
        <v>1363343</v>
      </c>
      <c r="C30" s="3" t="s">
        <v>55</v>
      </c>
      <c r="D30" s="13" t="s">
        <v>56</v>
      </c>
      <c r="E30" s="4"/>
      <c r="F30" s="7" t="s">
        <v>80</v>
      </c>
      <c r="G30" s="8"/>
      <c r="H30" s="14" t="str">
        <f ca="1">IF(AND(
            OR(OFFSET($H30,0,-2) = "-",OFFSET($H30,0,-2) = ""),OFFSET($H30,0,-1) = ""),"Incomplete","Complete")</f>
        <v>Complete</v>
      </c>
      <c r="I30" s="1">
        <v>0</v>
      </c>
    </row>
    <row r="31" spans="2:9" ht="62" x14ac:dyDescent="0.35">
      <c r="B31" s="1">
        <v>1363448</v>
      </c>
      <c r="C31" s="3" t="s">
        <v>57</v>
      </c>
      <c r="D31" s="13" t="s">
        <v>58</v>
      </c>
      <c r="E31" s="4"/>
      <c r="F31" s="7" t="s">
        <v>76</v>
      </c>
      <c r="G31" s="8" t="s">
        <v>86</v>
      </c>
      <c r="H31" s="14" t="str">
        <f ca="1">IF(AND(ISNA(MATCH(OFFSET($H31,0,-2)&amp;"",responseOption6,0)),NOT(TRIM(OFFSET($H31,0,-2)) = "")),"Response must be one of "&amp;INDEX(responseValidationRulesGroup6,3,1),IF(AND(IF(ISNA(INDEX(responseValidationRulesGroup6,MATCH(OFFSET($H31,0,-2)&amp;"",responseOption6,0),2)),FALSE,INDEX(responseValidationRulesGroup6,MATCH(OFFSET($H31,0,-2)&amp;"",responseOption6,0),2)),TRIM(OFFSET($H31,0,-1)) = ""),"A comment is required for this response",IF(IF(ISNA(INDEX(responseValidationRulesGroup6,MATCH(OFFSET($H31,0,-2)&amp;"",responseOption6,0),3)),FALSE,INDEX(responseValidationRulesGroup6,MATCH(OFFSET($H31,0,-2)&amp;"",responseOption6,0),3)),IF(TRIM(OFFSET($H31,0,-1)) = "","Complete","The comment must be left blank for this response"),IF(TRIM(OFFSET($H31,0,-2))="","Incomplete", "Complete"))))</f>
        <v>Complete</v>
      </c>
      <c r="I31" s="1">
        <v>1</v>
      </c>
    </row>
    <row r="32" spans="2:9" ht="77.5" x14ac:dyDescent="0.35">
      <c r="B32" s="1">
        <v>1258142</v>
      </c>
      <c r="C32" s="3" t="s">
        <v>59</v>
      </c>
      <c r="D32" s="13" t="s">
        <v>60</v>
      </c>
      <c r="E32" s="4"/>
      <c r="F32" s="39" t="s">
        <v>87</v>
      </c>
      <c r="G32" s="8"/>
      <c r="H32" s="14" t="str">
        <f ca="1">IF(AND(
            OR(OFFSET($H32,0,-2) = "-",OFFSET($H32,0,-2) = ""),OFFSET($H32,0,-1) = ""),"Incomplete","Complete")</f>
        <v>Complete</v>
      </c>
      <c r="I32" s="1">
        <v>0</v>
      </c>
    </row>
    <row r="33" spans="2:8" ht="27" customHeight="1" x14ac:dyDescent="0.35">
      <c r="B33">
        <v>-1</v>
      </c>
      <c r="C33" s="57">
        <f>COUNTIF(I11:I32,"&lt;&gt;-1")</f>
        <v>19</v>
      </c>
      <c r="D33" s="58"/>
      <c r="E33" s="12"/>
      <c r="F33" s="59">
        <f ca="1">IF(C33=0,1,(COUNTIF(H11:H32,TRUE)+COUNTIF(H11:H32,"Complete")) / (C33))</f>
        <v>1</v>
      </c>
      <c r="G33" s="58"/>
      <c r="H33" s="11"/>
    </row>
  </sheetData>
  <sheetProtection password="E36C" sheet="1" objects="1" scenarios="1" insertHyperlinks="0"/>
  <mergeCells count="5">
    <mergeCell ref="C11:E11"/>
    <mergeCell ref="C16:E16"/>
    <mergeCell ref="C18:E18"/>
    <mergeCell ref="C33:D33"/>
    <mergeCell ref="F33:G33"/>
  </mergeCells>
  <conditionalFormatting sqref="C11:G32">
    <cfRule type="expression" dxfId="11" priority="4">
      <formula>$I11=1</formula>
    </cfRule>
  </conditionalFormatting>
  <conditionalFormatting sqref="H11">
    <cfRule type="containsText" dxfId="10" priority="1" operator="containsText" text="~?">
      <formula>NOT(ISERROR(SEARCH("~?",H11)))</formula>
    </cfRule>
    <cfRule type="expression" dxfId="9" priority="5">
      <formula>$H11=""</formula>
    </cfRule>
  </conditionalFormatting>
  <conditionalFormatting sqref="H11:H32">
    <cfRule type="expression" dxfId="8" priority="8">
      <formula>$H11 ="Complete"</formula>
    </cfRule>
    <cfRule type="expression" dxfId="7" priority="9">
      <formula>$H11=1</formula>
    </cfRule>
    <cfRule type="expression" dxfId="6" priority="10">
      <formula>$H11</formula>
    </cfRule>
    <cfRule type="expression" dxfId="5" priority="11">
      <formula>AND(NOT(ISBLANK($H11)), NOT($H11))</formula>
    </cfRule>
    <cfRule type="expression" dxfId="4" priority="12">
      <formula>NOT(ISBLANK($H11))</formula>
    </cfRule>
  </conditionalFormatting>
  <conditionalFormatting sqref="H16">
    <cfRule type="containsText" dxfId="3" priority="2" operator="containsText" text="~?">
      <formula>NOT(ISERROR(SEARCH("~?",H16)))</formula>
    </cfRule>
    <cfRule type="expression" dxfId="2" priority="6">
      <formula>$H16=""</formula>
    </cfRule>
  </conditionalFormatting>
  <conditionalFormatting sqref="H18">
    <cfRule type="containsText" dxfId="1" priority="3" operator="containsText" text="~?">
      <formula>NOT(ISERROR(SEARCH("~?",H18)))</formula>
    </cfRule>
    <cfRule type="expression" dxfId="0" priority="7">
      <formula>$H18=""</formula>
    </cfRule>
  </conditionalFormatting>
  <dataValidations count="7">
    <dataValidation type="list" showErrorMessage="1" errorTitle="Error - Invalid Input" error="Please select an item from the drop-down list." sqref="F19:F20" xr:uid="{00000000-0002-0000-0200-000000000000}">
      <formula1>"Yes,No"</formula1>
    </dataValidation>
    <dataValidation type="list" showErrorMessage="1" errorTitle="Error - Invalid Input" error="Please select an item from the drop-down list." sqref="F26" xr:uid="{00000000-0002-0000-0200-000001000000}">
      <formula1>"Yes - Please explain why you failed to meet the deadline,No"</formula1>
    </dataValidation>
    <dataValidation type="list" showErrorMessage="1" errorTitle="Error - Invalid Input" error="Please select an item from the drop-down list." sqref="F21" xr:uid="{00000000-0002-0000-0200-000002000000}">
      <formula1>"Yes; what changed?,No"</formula1>
    </dataValidation>
    <dataValidation type="list" showErrorMessage="1" errorTitle="Error - Invalid Input" error="Please select an item from the drop-down list." sqref="F31" xr:uid="{00000000-0002-0000-0200-000003000000}">
      <formula1>"Yes,No - What positions are open &amp; why? How does this impact your services?"</formula1>
    </dataValidation>
    <dataValidation type="list" showErrorMessage="1" errorTitle="Error - Invalid Input" error="Please select an item from the drop-down list." sqref="F22" xr:uid="{00000000-0002-0000-0200-000004000000}">
      <formula1>"Yes; How much? From what source? Why was funding lost?,No"</formula1>
    </dataValidation>
    <dataValidation type="list" showErrorMessage="1" errorTitle="Error - Invalid Input" error="Please select an item from the drop-down list." sqref="F23" xr:uid="{00000000-0002-0000-0200-000005000000}">
      <formula1>"Yes - Please list source(s) and amount(s).,No"</formula1>
    </dataValidation>
    <dataValidation type="list" showErrorMessage="1" errorTitle="Error - Invalid Input" error="Please select an item from the drop-down list." sqref="F12" xr:uid="{00000000-0002-0000-0200-000006000000}">
      <formula1>"Medical Services,Core Social Services,Quality of Life Improvement Services"</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4"/>
  <sheetViews>
    <sheetView workbookViewId="0">
      <selection sqref="A1:U4"/>
    </sheetView>
  </sheetViews>
  <sheetFormatPr defaultRowHeight="15.5" x14ac:dyDescent="0.35"/>
  <sheetData>
    <row r="1" spans="1:21" x14ac:dyDescent="0.35">
      <c r="A1" s="26" t="s">
        <v>61</v>
      </c>
      <c r="B1" s="1" t="b">
        <f>FALSE()</f>
        <v>0</v>
      </c>
      <c r="C1" s="1" t="b">
        <f>FALSE()</f>
        <v>0</v>
      </c>
      <c r="D1" s="26" t="s">
        <v>65</v>
      </c>
      <c r="E1" s="1" t="b">
        <f>FALSE()</f>
        <v>0</v>
      </c>
      <c r="F1" s="1" t="b">
        <f>TRUE()</f>
        <v>1</v>
      </c>
      <c r="G1" s="26" t="s">
        <v>68</v>
      </c>
      <c r="H1" s="1" t="b">
        <f>TRUE()</f>
        <v>1</v>
      </c>
      <c r="I1" s="1" t="b">
        <f>FALSE()</f>
        <v>0</v>
      </c>
      <c r="J1" s="26" t="s">
        <v>70</v>
      </c>
      <c r="K1" s="1" t="b">
        <f>TRUE()</f>
        <v>1</v>
      </c>
      <c r="L1" s="1" t="b">
        <f>FALSE()</f>
        <v>0</v>
      </c>
      <c r="M1" s="26" t="s">
        <v>72</v>
      </c>
      <c r="N1" s="1" t="b">
        <f>TRUE()</f>
        <v>1</v>
      </c>
      <c r="O1" s="1" t="b">
        <f>FALSE()</f>
        <v>0</v>
      </c>
      <c r="P1" s="26" t="s">
        <v>74</v>
      </c>
      <c r="Q1" s="1" t="b">
        <f>TRUE()</f>
        <v>1</v>
      </c>
      <c r="R1" s="1" t="b">
        <f>FALSE()</f>
        <v>0</v>
      </c>
      <c r="S1" s="26" t="s">
        <v>65</v>
      </c>
      <c r="T1" s="1" t="b">
        <f>FALSE()</f>
        <v>0</v>
      </c>
      <c r="U1" s="1" t="b">
        <f>FALSE()</f>
        <v>0</v>
      </c>
    </row>
    <row r="2" spans="1:21" x14ac:dyDescent="0.35">
      <c r="A2" s="26" t="s">
        <v>62</v>
      </c>
      <c r="B2" s="1" t="b">
        <f>FALSE()</f>
        <v>0</v>
      </c>
      <c r="C2" s="1" t="b">
        <f>FALSE()</f>
        <v>0</v>
      </c>
      <c r="D2" s="26" t="s">
        <v>66</v>
      </c>
      <c r="E2" s="1" t="b">
        <f>FALSE()</f>
        <v>0</v>
      </c>
      <c r="F2" s="1" t="b">
        <f>TRUE()</f>
        <v>1</v>
      </c>
      <c r="G2" s="26" t="s">
        <v>66</v>
      </c>
      <c r="H2" s="1" t="b">
        <f>FALSE()</f>
        <v>0</v>
      </c>
      <c r="I2" s="1" t="b">
        <f>TRUE()</f>
        <v>1</v>
      </c>
      <c r="J2" s="26" t="s">
        <v>66</v>
      </c>
      <c r="K2" s="1" t="b">
        <f>FALSE()</f>
        <v>0</v>
      </c>
      <c r="L2" s="1" t="b">
        <f>TRUE()</f>
        <v>1</v>
      </c>
      <c r="M2" s="26" t="s">
        <v>66</v>
      </c>
      <c r="N2" s="1" t="b">
        <f>FALSE()</f>
        <v>0</v>
      </c>
      <c r="O2" s="1" t="b">
        <f>TRUE()</f>
        <v>1</v>
      </c>
      <c r="P2" s="26" t="s">
        <v>66</v>
      </c>
      <c r="Q2" s="1" t="b">
        <f>FALSE()</f>
        <v>0</v>
      </c>
      <c r="R2" s="1" t="b">
        <f>TRUE()</f>
        <v>1</v>
      </c>
      <c r="S2" s="26" t="s">
        <v>76</v>
      </c>
      <c r="T2" s="1" t="b">
        <f>TRUE()</f>
        <v>1</v>
      </c>
      <c r="U2" s="1" t="b">
        <f>FALSE()</f>
        <v>0</v>
      </c>
    </row>
    <row r="3" spans="1:21" x14ac:dyDescent="0.35">
      <c r="A3" s="26" t="s">
        <v>63</v>
      </c>
      <c r="B3" s="1" t="b">
        <f>FALSE()</f>
        <v>0</v>
      </c>
      <c r="C3" s="1" t="b">
        <f>FALSE()</f>
        <v>0</v>
      </c>
      <c r="D3" s="1" t="s">
        <v>67</v>
      </c>
      <c r="E3" s="1"/>
      <c r="F3" s="1"/>
      <c r="G3" s="1" t="s">
        <v>69</v>
      </c>
      <c r="H3" s="1"/>
      <c r="I3" s="1"/>
      <c r="J3" s="1" t="s">
        <v>71</v>
      </c>
      <c r="K3" s="1"/>
      <c r="L3" s="1"/>
      <c r="M3" s="1" t="s">
        <v>73</v>
      </c>
      <c r="N3" s="1"/>
      <c r="O3" s="1"/>
      <c r="P3" s="1" t="s">
        <v>75</v>
      </c>
      <c r="Q3" s="1"/>
      <c r="R3" s="1"/>
      <c r="S3" s="1" t="s">
        <v>77</v>
      </c>
      <c r="T3" s="1"/>
      <c r="U3" s="1"/>
    </row>
    <row r="4" spans="1:21" x14ac:dyDescent="0.35">
      <c r="A4" s="1" t="s">
        <v>64</v>
      </c>
      <c r="B4" s="1"/>
      <c r="C4" s="1"/>
      <c r="D4" s="1"/>
      <c r="E4" s="1"/>
      <c r="F4" s="1"/>
      <c r="G4" s="1"/>
      <c r="H4" s="1"/>
      <c r="I4" s="1"/>
      <c r="J4" s="1"/>
      <c r="K4" s="1"/>
      <c r="L4" s="1"/>
      <c r="M4" s="1"/>
      <c r="N4" s="1"/>
      <c r="O4" s="1"/>
      <c r="P4" s="1"/>
      <c r="Q4" s="1"/>
      <c r="R4" s="1"/>
      <c r="S4" s="1"/>
      <c r="T4" s="1"/>
      <c r="U4" s="1"/>
    </row>
  </sheetData>
  <sheetProtection password="E36C"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14</vt:i4>
      </vt:variant>
    </vt:vector>
  </HeadingPairs>
  <TitlesOfParts>
    <vt:vector size="17" baseType="lpstr">
      <vt:lpstr>Instructions</vt:lpstr>
      <vt:lpstr>Summary</vt:lpstr>
      <vt:lpstr>1</vt:lpstr>
      <vt:lpstr>responseOption0</vt:lpstr>
      <vt:lpstr>responseOption1</vt:lpstr>
      <vt:lpstr>responseOption2</vt:lpstr>
      <vt:lpstr>responseOption3</vt:lpstr>
      <vt:lpstr>responseOption4</vt:lpstr>
      <vt:lpstr>responseOption5</vt:lpstr>
      <vt:lpstr>responseOption6</vt:lpstr>
      <vt:lpstr>responseValidationRulesGroup0</vt:lpstr>
      <vt:lpstr>responseValidationRulesGroup1</vt:lpstr>
      <vt:lpstr>responseValidationRulesGroup2</vt:lpstr>
      <vt:lpstr>responseValidationRulesGroup3</vt:lpstr>
      <vt:lpstr>responseValidationRulesGroup4</vt:lpstr>
      <vt:lpstr>responseValidationRulesGroup5</vt:lpstr>
      <vt:lpstr>responseValidationRulesGroup6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Response Template</dc:title>
  <dc:subject/>
  <dc:creator>Bonfire</dc:creator>
  <cp:keywords/>
  <dc:description/>
  <cp:lastModifiedBy>Clare Condra</cp:lastModifiedBy>
  <cp:lastPrinted>2025-03-11T22:45:57Z</cp:lastPrinted>
  <dcterms:created xsi:type="dcterms:W3CDTF">2025-02-14T13:57:54Z</dcterms:created>
  <dcterms:modified xsi:type="dcterms:W3CDTF">2025-03-13T13:21:21Z</dcterms:modified>
  <cp:category/>
</cp:coreProperties>
</file>