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23"/>
  <workbookPr codeName="ThisWorkbook"/>
  <xr:revisionPtr revIDLastSave="59" documentId="11_6DAC726DB3480731E6B8D81B04488DACFE0478F5" xr6:coauthVersionLast="47" xr6:coauthVersionMax="47" xr10:uidLastSave="{125625BA-338E-4D07-9353-D76153937BC1}"/>
  <workbookProtection lockStructure="1"/>
  <bookViews>
    <workbookView xWindow="0" yWindow="0" windowWidth="0" windowHeight="0" firstSheet="2"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8"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B3" i="4"/>
  <c r="U2" i="4"/>
  <c r="T2" i="4"/>
  <c r="R2" i="4"/>
  <c r="Q2" i="4"/>
  <c r="O2" i="4"/>
  <c r="N2" i="4"/>
  <c r="L2" i="4"/>
  <c r="K2" i="4"/>
  <c r="I2" i="4"/>
  <c r="H2" i="4"/>
  <c r="F2" i="4"/>
  <c r="E2" i="4"/>
  <c r="C2" i="4"/>
  <c r="B2" i="4"/>
  <c r="U1" i="4"/>
  <c r="T1" i="4"/>
  <c r="R1" i="4"/>
  <c r="Q1" i="4"/>
  <c r="O1" i="4"/>
  <c r="N1" i="4"/>
  <c r="L1" i="4"/>
  <c r="K1" i="4"/>
  <c r="I1" i="4"/>
  <c r="H1" i="4"/>
  <c r="F1" i="4"/>
  <c r="E1" i="4"/>
  <c r="C1" i="4"/>
  <c r="B1" i="4"/>
  <c r="C33" i="3"/>
  <c r="H32" i="3"/>
  <c r="H31" i="3"/>
  <c r="H30" i="3"/>
  <c r="H29" i="3"/>
  <c r="H28" i="3"/>
  <c r="H27" i="3"/>
  <c r="H26" i="3"/>
  <c r="H25" i="3"/>
  <c r="H24" i="3"/>
  <c r="H23" i="3"/>
  <c r="H22" i="3"/>
  <c r="H21" i="3"/>
  <c r="H20" i="3"/>
  <c r="H19" i="3"/>
  <c r="H18" i="3"/>
  <c r="H17" i="3"/>
  <c r="H16" i="3"/>
  <c r="H15" i="3"/>
  <c r="H14" i="3"/>
  <c r="H13" i="3"/>
  <c r="H12" i="3"/>
  <c r="H11" i="3"/>
  <c r="C11" i="2"/>
  <c r="C14" i="2" s="1"/>
  <c r="F33" i="3" l="1"/>
  <c r="E11" i="2" s="1"/>
  <c r="BD12" i="2" l="1"/>
  <c r="BC12" i="2"/>
  <c r="BB12" i="2"/>
  <c r="BA12" i="2"/>
  <c r="AZ12" i="2"/>
  <c r="AY12" i="2"/>
  <c r="AX12" i="2"/>
  <c r="AW12" i="2"/>
  <c r="AV12" i="2"/>
  <c r="AU12" i="2"/>
  <c r="AT12" i="2"/>
  <c r="AS12" i="2"/>
  <c r="AR12" i="2"/>
  <c r="AQ12" i="2"/>
  <c r="AP12" i="2"/>
  <c r="AO12" i="2"/>
  <c r="AN12" i="2"/>
  <c r="AM12" i="2"/>
  <c r="AL12" i="2"/>
  <c r="AK12" i="2"/>
  <c r="AJ12" i="2"/>
  <c r="AI12"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BF11" i="2"/>
  <c r="E14" i="2"/>
  <c r="BD15" i="2" l="1"/>
  <c r="BC15" i="2"/>
  <c r="BB15" i="2"/>
  <c r="BA15" i="2"/>
  <c r="AZ15" i="2"/>
  <c r="AY15" i="2"/>
  <c r="AX15" i="2"/>
  <c r="AW15" i="2"/>
  <c r="AV15" i="2"/>
  <c r="AU15" i="2"/>
  <c r="AT15" i="2"/>
  <c r="AS15" i="2"/>
  <c r="AR15" i="2"/>
  <c r="AQ15" i="2"/>
  <c r="AP15" i="2"/>
  <c r="AO15" i="2"/>
  <c r="AN15" i="2"/>
  <c r="AM15" i="2"/>
  <c r="AL15" i="2"/>
  <c r="AK15" i="2"/>
  <c r="AJ15" i="2"/>
  <c r="AI15"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alcChain>
</file>

<file path=xl/sharedStrings.xml><?xml version="1.0" encoding="utf-8"?>
<sst xmlns="http://schemas.openxmlformats.org/spreadsheetml/2006/main" count="104" uniqueCount="89">
  <si>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</si>
  <si>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</si>
  <si>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</si>
  <si>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</si>
  <si>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</si>
  <si>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ccf39d73bff0d16b001dec95819423881521ad2edd8651a97447488323fc36a862d53841be3d9c3e7f0976d9df91972586fb0e65680098b6914ca5a5750f504e1NiLmSmN3onD30VmXzXQKRrRs2yAzckYLy00nNsEjoc/usvVIZ4xwrXyxyA77bw6</t>
  </si>
  <si>
    <t>Summary</t>
  </si>
  <si>
    <t>Question Set</t>
  </si>
  <si>
    <t>Questions</t>
  </si>
  <si>
    <t>Hide Me</t>
  </si>
  <si>
    <t>% Complete</t>
  </si>
  <si>
    <t>Progress</t>
  </si>
  <si>
    <t>Error?</t>
  </si>
  <si>
    <t>Total</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</si>
  <si>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</si>
  <si>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</si>
  <si>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</si>
  <si>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</si>
  <si>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</si>
  <si>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</si>
  <si>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</si>
  <si>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</si>
  <si>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</si>
  <si>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Core Social Services</t>
  </si>
  <si>
    <t>1.1.2</t>
  </si>
  <si>
    <t xml:space="preserve">
Insert your agency’s board-approved mission statement only.
</t>
  </si>
  <si>
    <t xml:space="preserve">The Grace Jones Community Day Care Center, Inc. is organized exclusively for charitable and educational purposes, more specifically to provide quality education, while nurturing a child’s body, mind, and spirit.   </t>
  </si>
  <si>
    <t>1.1.3</t>
  </si>
  <si>
    <t xml:space="preserve">
List the services your agency provides.
</t>
  </si>
  <si>
    <t xml:space="preserve">Grace Jones Community Center (GJCC) provides award-winning, APPLE-certified daycare and after-school care for underserved youth in our community. Our programming is tailored to meet the needs of students from birth to 6 years of age. Each student receives hands-on learning that incorporates skill-based development styles, nutritious lunches, and access to additional community resources. Grace Jones has served thousands of children from diverse family backgrounds since 1957 and has done so from the same location over the past 60+ years.  
At this time, we have 73 children registered for daycare services. Along with the 73 children currently enrolled, we have a significant wait list. We expect to maintain a daily census of at least 70 children in the upcoming 2025-2026 school year. When we take student turnover into account, due to Marathon parents’ fluctuating needs, we can expect to serve more than 73 unduplicated children in one year.  
GJCC provides two meals and one snack for all daycare attendees each day – at no cost to the families. GJCC staff has noted that when children come back to daycare on Monday mornings, many eat significantly more food than they do the rest of the week –confirming many GJCC students struggle with food insecurity at home and do not get enough to eat. GJCC is a safe space where kids don’t have to worry about feeling hungry, which should never be the concern of a child. 
To further address food insecurity among Grace Jones’ students, we have reimplemented our backpack program, which provides children with food to take home over the weekend. We offered this service to each of our students, with the exception of infants (we have 8 infants currently enrolled). Of the 65 students we offered the program to, 50 of them, or 77%, indicated a need for the program. Each backpack contains two breakfast items, two snack items, two lunch items, two drinks, and milk.  
Due to the high cost of living in Monroe County, the need for childcare continues unabated. Many of our students’ parents have had to increase their work hours to adequately provide for their families. GJCC is proud to serve as the conduit between parent success and early childhood success. </t>
  </si>
  <si>
    <t>1.1.4</t>
  </si>
  <si>
    <t xml:space="preserve">
For fiscal year 2026, specifically how will the amount requested be utilized?
</t>
  </si>
  <si>
    <t>The $60,000 in requested funds will be expended toward Grace Jones’ general operations.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</si>
  <si>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</si>
  <si>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</si>
  <si>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</si>
  <si>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 xml:space="preserve">See attached </t>
  </si>
  <si>
    <t>Application Questions</t>
  </si>
  <si>
    <t>1.3.1</t>
  </si>
  <si>
    <t xml:space="preserve">
Have you previously been funded by HSAB?
</t>
  </si>
  <si>
    <t>Yes</t>
  </si>
  <si>
    <t>1.3.2</t>
  </si>
  <si>
    <t xml:space="preserve">
Will County HSAB funds be used as match for a grant?
</t>
  </si>
  <si>
    <t>No</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</si>
  <si>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</si>
  <si>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</si>
  <si>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</si>
  <si>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</si>
  <si>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</si>
  <si>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</si>
  <si>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</si>
  <si>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</si>
  <si>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GJCC provides the State of Florida-certified daycare services to children of working parents.  These children are predominately from families of low- to moderate-income households. Currently, 65% of families whose children attend GJCC are at or below 80% of the Average Median Income (AMI), with nearly half below 50% AMI, as determined by Monroe County specifications. Children enrolled in GJCC range from newborn to 6 years old. Grace Jones is equipped to serve children from all walks of life, including those with disabilities.</t>
  </si>
  <si>
    <t>1.3.7</t>
  </si>
  <si>
    <t xml:space="preserve">
How are clients referred to your agency?
</t>
  </si>
  <si>
    <t xml:space="preserve"> Grace Jones receives referrals from individuals, public schools, daycare centers, local employers, and the Early Learning Coalition of Miami-Dade/Monroe Counties headquartered in Miami.</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</si>
  <si>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</si>
  <si>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</si>
  <si>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</si>
  <si>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</si>
  <si>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2019 hours were contributed by 12 volunteers.</t>
  </si>
  <si>
    <t>1.3.10</t>
  </si>
  <si>
    <t xml:space="preserve">
What measurable outcomes do you plan to accomplish in the next funding year and how will you measure these?
</t>
  </si>
  <si>
    <t xml:space="preserve">1. Provide high-quality, affordable daycare to 70 children in Marathon, Florida. 
2. Provide financial relief and reduce food insecurity by providing 2 free meals to all attendees. 
Grace Jones will track the number of students enrolled in programming, as well as the number of meals provided to students during the grant period. Financial relief reports will be measured through parent surveys, and food satisfaction will be measured through student surveys.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</si>
  <si>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</si>
  <si>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</si>
  <si>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 xml:space="preserve">See attached fee schedule. </t>
  </si>
  <si>
    <t>1.3.12</t>
  </si>
  <si>
    <t xml:space="preserve">
What is the current number of employees, full-time and part-time, on the payroll for the entire organization? How many employees ("snapshot") does your organization have as of today's date?
</t>
  </si>
  <si>
    <t>GJCC employs 15 individuals as of 3/25/2025. 12 are full-time, and 3 are part-time.</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</si>
  <si>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</si>
  <si>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</si>
  <si>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</si>
  <si>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</si>
  <si>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N/A</t>
  </si>
  <si>
    <t>Medical Services</t>
  </si>
  <si>
    <t>Yes; what changed?</t>
  </si>
  <si>
    <t>Yes; How much? From what source? Why was funding lost?</t>
  </si>
  <si>
    <t>Yes - Please list source(s) and amount(s).</t>
  </si>
  <si>
    <t>Yes - Please explain why you failed to meet the deadline</t>
  </si>
  <si>
    <t>No - What positions are open &amp; why? How does this impact your services?</t>
  </si>
  <si>
    <t>Quality of Life Improvement Services</t>
  </si>
  <si>
    <t>Yes, No</t>
  </si>
  <si>
    <t>Yes; what changed?, No</t>
  </si>
  <si>
    <t>Yes; How much? From what source? Why was funding lost?, No</t>
  </si>
  <si>
    <t>Yes - Please list source(s) and amount(s)., No</t>
  </si>
  <si>
    <t>Yes - Please explain why you failed to meet the deadline, No</t>
  </si>
  <si>
    <t>Yes, No - What positions are open &amp; why? How does this impact your services?</t>
  </si>
  <si>
    <t>Medical Services, Core Social Services, Quality of Life Improvement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</si>
</sst>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 &quot;Questions&quot;"/>
    <numFmt numFmtId="165" formatCode="0\ &quot;pts&quot;"/>
    <numFmt numFmtId="166" formatCode="0.00%\ &quot;Complete&quot;"/>
    <numFmt numFmtId="167" formatCode="&quot;The comment must be left blank for this response&quot;"/>
  </numFmts>
  <fonts count="8">
    <font>
      <sz val="12"/>
      <color rgb="FF000000"/>
      <name val="Arial"/>
    </font>
    <font>
      <b/>
      <sz val="22"/>
      <color rgb="FF404040"/>
      <name val="Arial"/>
    </font>
    <font>
      <b/>
      <sz val="12"/>
      <color rgb="FFFFFFFF"/>
      <name val="Arial"/>
    </font>
    <font>
      <b/>
      <sz val="14"/>
      <color rgb="FFFFFFFF"/>
      <name val="Arial"/>
    </font>
    <font>
      <sz val="12"/>
      <color rgb="FFFFFFFF"/>
      <name val="Arial"/>
    </font>
    <font>
      <sz val="11"/>
      <color rgb="FF000000"/>
      <name val="Aptos"/>
      <charset val="1"/>
    </font>
    <font>
      <sz val="12"/>
      <color rgb="FF000000"/>
      <name val="WordVisi_MSFontService"/>
      <charset val="1"/>
    </font>
    <font>
      <sz val="12"/>
      <color rgb="FF000000"/>
      <name val="Aptos"/>
      <charset val="1"/>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2">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style="dotted">
        <color rgb="FFBFBFBF"/>
      </left>
      <right style="dotted">
        <color rgb="FFBFBFBF"/>
      </right>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60">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49" fontId="0" fillId="2" borderId="0" xfId="0" applyNumberFormat="1" applyFill="1"/>
    <xf numFmtId="0" fontId="3" fillId="4" borderId="18"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2" xfId="0" applyFont="1" applyFill="1" applyBorder="1" applyAlignment="1">
      <alignment horizontal="center" vertical="center"/>
    </xf>
    <xf numFmtId="49" fontId="5" fillId="3" borderId="2" xfId="0" applyNumberFormat="1" applyFont="1" applyFill="1" applyBorder="1" applyAlignment="1" applyProtection="1">
      <alignment horizontal="center" vertical="center" wrapText="1"/>
      <protection locked="0"/>
    </xf>
    <xf numFmtId="6" fontId="6" fillId="3" borderId="3" xfId="0" applyNumberFormat="1" applyFont="1" applyFill="1" applyBorder="1" applyAlignment="1" applyProtection="1">
      <alignment horizontal="left" vertical="center" wrapText="1" indent="1"/>
      <protection locked="0"/>
    </xf>
    <xf numFmtId="49" fontId="7" fillId="3" borderId="2" xfId="0" applyNumberFormat="1" applyFont="1" applyFill="1" applyBorder="1" applyAlignment="1" applyProtection="1">
      <alignment horizontal="center" vertical="center" wrapText="1"/>
      <protection locked="0"/>
    </xf>
    <xf numFmtId="0" fontId="3" fillId="6" borderId="11"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165" fontId="3" fillId="4" borderId="19" xfId="0" applyNumberFormat="1" applyFont="1" applyFill="1" applyBorder="1" applyAlignment="1">
      <alignment horizontal="center" vertical="center"/>
    </xf>
    <xf numFmtId="0" fontId="1" fillId="2" borderId="0" xfId="0" applyFont="1" applyFill="1" applyAlignment="1">
      <alignment horizontal="left" vertical="center" wrapText="1"/>
    </xf>
    <xf numFmtId="0" fontId="0" fillId="3" borderId="0" xfId="0" applyFill="1" applyAlignment="1">
      <alignment vertical="center" wrapText="1"/>
    </xf>
    <xf numFmtId="0" fontId="0" fillId="2" borderId="0" xfId="0" applyFill="1" applyAlignment="1">
      <alignment vertical="top" wrapText="1"/>
    </xf>
    <xf numFmtId="0" fontId="2" fillId="4" borderId="0" xfId="0" applyFont="1" applyFill="1" applyAlignment="1">
      <alignment horizontal="center" vertical="center" wrapText="1"/>
    </xf>
    <xf numFmtId="0" fontId="3" fillId="4" borderId="16"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6" borderId="11" xfId="0" applyFont="1" applyFill="1" applyBorder="1" applyAlignment="1">
      <alignment horizontal="left" vertical="center" wrapText="1" indent="1"/>
    </xf>
    <xf numFmtId="0" fontId="3" fillId="6" borderId="4"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19" xfId="0" applyNumberFormat="1" applyFont="1" applyFill="1" applyBorder="1" applyAlignment="1">
      <alignment horizontal="center" vertical="center"/>
    </xf>
    <xf numFmtId="0" fontId="3" fillId="4" borderId="19" xfId="0" applyFont="1" applyFill="1" applyBorder="1" applyAlignment="1">
      <alignment horizontal="center" vertical="center"/>
    </xf>
    <xf numFmtId="166" fontId="3" fillId="4" borderId="19" xfId="0" applyNumberFormat="1" applyFont="1" applyFill="1" applyBorder="1" applyAlignment="1">
      <alignment horizontal="center" vertical="center"/>
    </xf>
    <xf numFmtId="0" fontId="0" fillId="2" borderId="0" xfId="0" applyFill="1" applyAlignment="1" applyProtection="1">
      <protection locked="0"/>
    </xf>
  </cellXfs>
  <cellStyles count="1">
    <cellStyle name="Normal" xfId="0" builtinId="0"/>
  </cellStyles>
  <dxfs count="21">
    <dxf>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opLeftCell="A7" workbookViewId="0">
      <selection activeCell="B12" sqref="B12:E12"/>
    </sheetView>
  </sheetViews>
  <sheetFormatPr defaultRowHeight="14.45"/>
  <cols>
    <col min="2" max="5" width="25" customWidth="1"/>
    <col min="702" max="702" width="9.109375" hidden="1"/>
  </cols>
  <sheetData>
    <row r="8" spans="2:5" ht="32.1" customHeight="1">
      <c r="B8" s="40" t="s">
        <v>0</v>
      </c>
      <c r="C8" s="59"/>
      <c r="D8" s="59"/>
      <c r="E8" s="59"/>
    </row>
    <row r="10" spans="2:5">
      <c r="B10" s="2" t="s">
        <v>1</v>
      </c>
    </row>
    <row r="12" spans="2:5" ht="409.6" customHeight="1">
      <c r="B12" s="41" t="s">
        <v>2</v>
      </c>
      <c r="C12" s="41"/>
      <c r="D12" s="41"/>
      <c r="E12" s="41"/>
    </row>
    <row r="14" spans="2:5">
      <c r="B14" s="2" t="s">
        <v>3</v>
      </c>
    </row>
    <row r="16" spans="2:5" ht="15.95" customHeight="1">
      <c r="B16" s="42" t="s">
        <v>4</v>
      </c>
      <c r="C16" s="59"/>
      <c r="D16" s="59"/>
      <c r="E16" s="59"/>
    </row>
    <row r="702" spans="702:702">
      <c r="ZZ702" s="1" t="s">
        <v>5</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B11" activePane="bottomLeft" state="frozen"/>
      <selection pane="bottomLeft" activeCell="B11" sqref="B11"/>
    </sheetView>
  </sheetViews>
  <sheetFormatPr defaultRowHeight="14.45"/>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row r="3" spans="2:58" hidden="1"/>
    <row r="4" spans="2:58" hidden="1"/>
    <row r="5" spans="2:58" hidden="1"/>
    <row r="6" spans="2:58" hidden="1"/>
    <row r="7" spans="2:58" hidden="1"/>
    <row r="8" spans="2:58">
      <c r="B8" s="2" t="s">
        <v>6</v>
      </c>
    </row>
    <row r="10" spans="2:58" ht="32.1" customHeight="1">
      <c r="B10" s="5" t="s">
        <v>7</v>
      </c>
      <c r="C10" s="5" t="s">
        <v>8</v>
      </c>
      <c r="D10" s="5" t="s">
        <v>9</v>
      </c>
      <c r="E10" s="5" t="s">
        <v>10</v>
      </c>
      <c r="F10" s="43" t="s">
        <v>11</v>
      </c>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5" t="s">
        <v>12</v>
      </c>
    </row>
    <row r="11" spans="2:58">
      <c r="B11" s="50">
        <v>1</v>
      </c>
      <c r="C11" s="51">
        <f>'1'!C33</f>
        <v>19</v>
      </c>
      <c r="D11" s="51"/>
      <c r="E11" s="51">
        <f ca="1">'1'!F33</f>
        <v>1</v>
      </c>
      <c r="F11" s="11"/>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6"/>
      <c r="BF11" s="52" t="str">
        <f ca="1">IF(E11= 1, "Complete: no errors",IF(COUNTIF(INDIRECT("'"&amp;B11:B13&amp;"'!H11:H12"),"*"&amp;"response"&amp;"*"),"Errors present","No errors"))</f>
        <v>Complete: no errors</v>
      </c>
    </row>
    <row r="12" spans="2:58">
      <c r="B12" s="50"/>
      <c r="C12" s="51"/>
      <c r="D12" s="51"/>
      <c r="E12" s="51"/>
      <c r="F12" s="12"/>
      <c r="G12" s="19" t="b">
        <f ca="1">E11 &gt;= 0.02</f>
        <v>1</v>
      </c>
      <c r="H12" s="20" t="b">
        <f ca="1">E11 &gt;= 0.04</f>
        <v>1</v>
      </c>
      <c r="I12" s="20" t="b">
        <f ca="1">E11 &gt;= 0.06</f>
        <v>1</v>
      </c>
      <c r="J12" s="20" t="b">
        <f ca="1">E11 &gt;= 0.08</f>
        <v>1</v>
      </c>
      <c r="K12" s="20" t="b">
        <f ca="1">E11 &gt;= 0.1</f>
        <v>1</v>
      </c>
      <c r="L12" s="20" t="b">
        <f ca="1">E11 &gt;= 0.12</f>
        <v>1</v>
      </c>
      <c r="M12" s="20" t="b">
        <f ca="1">E11 &gt;= 0.14</f>
        <v>1</v>
      </c>
      <c r="N12" s="20" t="b">
        <f ca="1">E11 &gt;= 0.16</f>
        <v>1</v>
      </c>
      <c r="O12" s="20" t="b">
        <f ca="1">E11 &gt;= 0.18</f>
        <v>1</v>
      </c>
      <c r="P12" s="20" t="b">
        <f ca="1">E11 &gt;= 0.2</f>
        <v>1</v>
      </c>
      <c r="Q12" s="20" t="b">
        <f ca="1">E11 &gt;= 0.22</f>
        <v>1</v>
      </c>
      <c r="R12" s="20" t="b">
        <f ca="1">E11 &gt;= 0.24</f>
        <v>1</v>
      </c>
      <c r="S12" s="20" t="b">
        <f ca="1">E11 &gt;= 0.26</f>
        <v>1</v>
      </c>
      <c r="T12" s="20" t="b">
        <f ca="1">E11 &gt;= 0.28</f>
        <v>1</v>
      </c>
      <c r="U12" s="20" t="b">
        <f ca="1">E11 &gt;= 0.3</f>
        <v>1</v>
      </c>
      <c r="V12" s="20" t="b">
        <f ca="1">E11 &gt;= 0.32</f>
        <v>1</v>
      </c>
      <c r="W12" s="20" t="b">
        <f ca="1">E11 &gt;= 0.34</f>
        <v>1</v>
      </c>
      <c r="X12" s="20" t="b">
        <f ca="1">E11 &gt;= 0.36</f>
        <v>1</v>
      </c>
      <c r="Y12" s="20" t="b">
        <f ca="1">E11 &gt;= 0.38</f>
        <v>1</v>
      </c>
      <c r="Z12" s="20" t="b">
        <f ca="1">E11 &gt;= 0.4</f>
        <v>1</v>
      </c>
      <c r="AA12" s="20" t="b">
        <f ca="1">E11 &gt;= 0.42</f>
        <v>1</v>
      </c>
      <c r="AB12" s="20" t="b">
        <f ca="1">E11 &gt;= 0.44</f>
        <v>1</v>
      </c>
      <c r="AC12" s="20" t="b">
        <f ca="1">E11 &gt;= 0.46</f>
        <v>1</v>
      </c>
      <c r="AD12" s="20" t="b">
        <f ca="1">E11 &gt;= 0.48</f>
        <v>1</v>
      </c>
      <c r="AE12" s="20" t="b">
        <f ca="1">E11 &gt;= 0.5</f>
        <v>1</v>
      </c>
      <c r="AF12" s="20" t="b">
        <f ca="1">E11 &gt;= 0.52</f>
        <v>1</v>
      </c>
      <c r="AG12" s="20" t="b">
        <f ca="1">E11 &gt;= 0.54</f>
        <v>1</v>
      </c>
      <c r="AH12" s="20" t="b">
        <f ca="1">E11 &gt;= 0.56</f>
        <v>1</v>
      </c>
      <c r="AI12" s="20" t="b">
        <f ca="1">E11 &gt;= 0.58</f>
        <v>1</v>
      </c>
      <c r="AJ12" s="20" t="b">
        <f ca="1">E11 &gt;= 0.6</f>
        <v>1</v>
      </c>
      <c r="AK12" s="20" t="b">
        <f ca="1">E11 &gt;= 0.62</f>
        <v>1</v>
      </c>
      <c r="AL12" s="20" t="b">
        <f ca="1">E11 &gt;= 0.64</f>
        <v>1</v>
      </c>
      <c r="AM12" s="20" t="b">
        <f ca="1">E11 &gt;= 0.66</f>
        <v>1</v>
      </c>
      <c r="AN12" s="20" t="b">
        <f ca="1">E11 &gt;= 0.68</f>
        <v>1</v>
      </c>
      <c r="AO12" s="20" t="b">
        <f ca="1">E11 &gt;= 0.7</f>
        <v>1</v>
      </c>
      <c r="AP12" s="20" t="b">
        <f ca="1">E11 &gt;= 0.72</f>
        <v>1</v>
      </c>
      <c r="AQ12" s="20" t="b">
        <f ca="1">E11 &gt;= 0.74</f>
        <v>1</v>
      </c>
      <c r="AR12" s="20" t="b">
        <f ca="1">E11 &gt;= 0.76</f>
        <v>1</v>
      </c>
      <c r="AS12" s="20" t="b">
        <f ca="1">E11 &gt;= 0.78</f>
        <v>1</v>
      </c>
      <c r="AT12" s="20" t="b">
        <f ca="1">E11 &gt;= 0.8</f>
        <v>1</v>
      </c>
      <c r="AU12" s="20" t="b">
        <f ca="1">E11 &gt;= 0.82</f>
        <v>1</v>
      </c>
      <c r="AV12" s="20" t="b">
        <f ca="1">E11 &gt;= 0.84</f>
        <v>1</v>
      </c>
      <c r="AW12" s="20" t="b">
        <f ca="1">E11 &gt;= 0.86</f>
        <v>1</v>
      </c>
      <c r="AX12" s="20" t="b">
        <f ca="1">E11 &gt;= 0.88</f>
        <v>1</v>
      </c>
      <c r="AY12" s="20" t="b">
        <f ca="1">E11 &gt;= 0.9</f>
        <v>1</v>
      </c>
      <c r="AZ12" s="20" t="b">
        <f ca="1">E11 &gt;= 0.92</f>
        <v>1</v>
      </c>
      <c r="BA12" s="20" t="b">
        <f ca="1">E11 &gt;= 0.94</f>
        <v>1</v>
      </c>
      <c r="BB12" s="20" t="b">
        <f ca="1">E11 &gt;= 0.96</f>
        <v>1</v>
      </c>
      <c r="BC12" s="20" t="b">
        <f ca="1">E11 &gt;= 0.98</f>
        <v>1</v>
      </c>
      <c r="BD12" s="21" t="b">
        <f ca="1">E11 &gt;= 1</f>
        <v>1</v>
      </c>
      <c r="BE12" s="17"/>
      <c r="BF12" s="52"/>
    </row>
    <row r="13" spans="2:58">
      <c r="B13" s="50"/>
      <c r="C13" s="51"/>
      <c r="D13" s="51"/>
      <c r="E13" s="51"/>
      <c r="F13" s="13"/>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8"/>
      <c r="BF13" s="52"/>
    </row>
    <row r="14" spans="2:58">
      <c r="B14" s="44" t="s">
        <v>13</v>
      </c>
      <c r="C14" s="46">
        <f>SUM(C11:C13)</f>
        <v>19</v>
      </c>
      <c r="D14" s="46"/>
      <c r="E14" s="46">
        <f ca="1">IF($C$14=0,1,SUMPRODUCT(C11:C13, E11:E13) / $C$14)</f>
        <v>1</v>
      </c>
      <c r="F14" s="23"/>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5"/>
      <c r="BF14" s="48"/>
    </row>
    <row r="15" spans="2:58">
      <c r="B15" s="45"/>
      <c r="C15" s="47"/>
      <c r="D15" s="47"/>
      <c r="E15" s="47"/>
      <c r="F15" s="26"/>
      <c r="G15" s="27" t="b">
        <f ca="1">E14 &gt;= 0.02</f>
        <v>1</v>
      </c>
      <c r="H15" s="28" t="b">
        <f ca="1">E14 &gt;= 0.04</f>
        <v>1</v>
      </c>
      <c r="I15" s="28" t="b">
        <f ca="1">E14 &gt;= 0.06</f>
        <v>1</v>
      </c>
      <c r="J15" s="28" t="b">
        <f ca="1">E14 &gt;= 0.08</f>
        <v>1</v>
      </c>
      <c r="K15" s="28" t="b">
        <f ca="1">E14 &gt;= 0.1</f>
        <v>1</v>
      </c>
      <c r="L15" s="28" t="b">
        <f ca="1">E14 &gt;= 0.12</f>
        <v>1</v>
      </c>
      <c r="M15" s="28" t="b">
        <f ca="1">E14 &gt;= 0.14</f>
        <v>1</v>
      </c>
      <c r="N15" s="28" t="b">
        <f ca="1">E14 &gt;= 0.16</f>
        <v>1</v>
      </c>
      <c r="O15" s="28" t="b">
        <f ca="1">E14 &gt;= 0.18</f>
        <v>1</v>
      </c>
      <c r="P15" s="28" t="b">
        <f ca="1">E14 &gt;= 0.2</f>
        <v>1</v>
      </c>
      <c r="Q15" s="28" t="b">
        <f ca="1">E14 &gt;= 0.22</f>
        <v>1</v>
      </c>
      <c r="R15" s="28" t="b">
        <f ca="1">E14 &gt;= 0.24</f>
        <v>1</v>
      </c>
      <c r="S15" s="28" t="b">
        <f ca="1">E14 &gt;= 0.26</f>
        <v>1</v>
      </c>
      <c r="T15" s="28" t="b">
        <f ca="1">E14 &gt;= 0.28</f>
        <v>1</v>
      </c>
      <c r="U15" s="28" t="b">
        <f ca="1">E14 &gt;= 0.3</f>
        <v>1</v>
      </c>
      <c r="V15" s="28" t="b">
        <f ca="1">E14 &gt;= 0.32</f>
        <v>1</v>
      </c>
      <c r="W15" s="28" t="b">
        <f ca="1">E14 &gt;= 0.34</f>
        <v>1</v>
      </c>
      <c r="X15" s="28" t="b">
        <f ca="1">E14 &gt;= 0.36</f>
        <v>1</v>
      </c>
      <c r="Y15" s="28" t="b">
        <f ca="1">E14 &gt;= 0.38</f>
        <v>1</v>
      </c>
      <c r="Z15" s="28" t="b">
        <f ca="1">E14 &gt;= 0.4</f>
        <v>1</v>
      </c>
      <c r="AA15" s="28" t="b">
        <f ca="1">E14 &gt;= 0.42</f>
        <v>1</v>
      </c>
      <c r="AB15" s="28" t="b">
        <f ca="1">E14 &gt;= 0.44</f>
        <v>1</v>
      </c>
      <c r="AC15" s="28" t="b">
        <f ca="1">E14 &gt;= 0.46</f>
        <v>1</v>
      </c>
      <c r="AD15" s="28" t="b">
        <f ca="1">E14 &gt;= 0.48</f>
        <v>1</v>
      </c>
      <c r="AE15" s="28" t="b">
        <f ca="1">E14 &gt;= 0.5</f>
        <v>1</v>
      </c>
      <c r="AF15" s="28" t="b">
        <f ca="1">E14 &gt;= 0.52</f>
        <v>1</v>
      </c>
      <c r="AG15" s="28" t="b">
        <f ca="1">E14 &gt;= 0.54</f>
        <v>1</v>
      </c>
      <c r="AH15" s="28" t="b">
        <f ca="1">E14 &gt;= 0.56</f>
        <v>1</v>
      </c>
      <c r="AI15" s="28" t="b">
        <f ca="1">E14 &gt;= 0.58</f>
        <v>1</v>
      </c>
      <c r="AJ15" s="28" t="b">
        <f ca="1">E14 &gt;= 0.6</f>
        <v>1</v>
      </c>
      <c r="AK15" s="28" t="b">
        <f ca="1">E14 &gt;= 0.62</f>
        <v>1</v>
      </c>
      <c r="AL15" s="28" t="b">
        <f ca="1">E14 &gt;= 0.64</f>
        <v>1</v>
      </c>
      <c r="AM15" s="28" t="b">
        <f ca="1">E14 &gt;= 0.66</f>
        <v>1</v>
      </c>
      <c r="AN15" s="28" t="b">
        <f ca="1">E14 &gt;= 0.68</f>
        <v>1</v>
      </c>
      <c r="AO15" s="28" t="b">
        <f ca="1">E14 &gt;= 0.7</f>
        <v>1</v>
      </c>
      <c r="AP15" s="28" t="b">
        <f ca="1">E14 &gt;= 0.72</f>
        <v>1</v>
      </c>
      <c r="AQ15" s="28" t="b">
        <f ca="1">E14 &gt;= 0.74</f>
        <v>1</v>
      </c>
      <c r="AR15" s="28" t="b">
        <f ca="1">E14 &gt;= 0.76</f>
        <v>1</v>
      </c>
      <c r="AS15" s="28" t="b">
        <f ca="1">E14 &gt;= 0.78</f>
        <v>1</v>
      </c>
      <c r="AT15" s="28" t="b">
        <f ca="1">E14 &gt;= 0.8</f>
        <v>1</v>
      </c>
      <c r="AU15" s="28" t="b">
        <f ca="1">E14 &gt;= 0.82</f>
        <v>1</v>
      </c>
      <c r="AV15" s="28" t="b">
        <f ca="1">E14 &gt;= 0.84</f>
        <v>1</v>
      </c>
      <c r="AW15" s="28" t="b">
        <f ca="1">E14 &gt;= 0.86</f>
        <v>1</v>
      </c>
      <c r="AX15" s="28" t="b">
        <f ca="1">E14 &gt;= 0.88</f>
        <v>1</v>
      </c>
      <c r="AY15" s="28" t="b">
        <f ca="1">E14 &gt;= 0.9</f>
        <v>1</v>
      </c>
      <c r="AZ15" s="28" t="b">
        <f ca="1">E14 &gt;= 0.92</f>
        <v>1</v>
      </c>
      <c r="BA15" s="28" t="b">
        <f ca="1">E14 &gt;= 0.94</f>
        <v>1</v>
      </c>
      <c r="BB15" s="28" t="b">
        <f ca="1">E14 &gt;= 0.96</f>
        <v>1</v>
      </c>
      <c r="BC15" s="28" t="b">
        <f ca="1">E14 &gt;= 0.98</f>
        <v>1</v>
      </c>
      <c r="BD15" s="29" t="b">
        <f ca="1">E14 &gt;= 1</f>
        <v>1</v>
      </c>
      <c r="BE15" s="30"/>
      <c r="BF15" s="49"/>
    </row>
    <row r="16" spans="2:58">
      <c r="B16" s="45"/>
      <c r="C16" s="47"/>
      <c r="D16" s="47"/>
      <c r="E16" s="47"/>
      <c r="F16" s="31"/>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3"/>
      <c r="BF16" s="49"/>
    </row>
  </sheetData>
  <sheetProtection password="E36C" sheet="1" objects="1" scenarios="1" insertHyperlinks="0"/>
  <mergeCells count="11">
    <mergeCell ref="BF14:BF16"/>
    <mergeCell ref="B11:B13"/>
    <mergeCell ref="C11:C13"/>
    <mergeCell ref="D11:D13"/>
    <mergeCell ref="E11:E13"/>
    <mergeCell ref="BF11:BF13"/>
    <mergeCell ref="F10:BE10"/>
    <mergeCell ref="B14:B16"/>
    <mergeCell ref="C14:C16"/>
    <mergeCell ref="D14:D16"/>
    <mergeCell ref="E14:E16"/>
  </mergeCells>
  <conditionalFormatting sqref="G12:BD12">
    <cfRule type="expression" dxfId="20" priority="1">
      <formula>G$12</formula>
    </cfRule>
    <cfRule type="expression" dxfId="19" priority="2">
      <formula>NOT(G$12)</formula>
    </cfRule>
  </conditionalFormatting>
  <conditionalFormatting sqref="G15:BD15">
    <cfRule type="expression" dxfId="18" priority="3">
      <formula>G$15</formula>
    </cfRule>
    <cfRule type="expression" dxfId="17" priority="4">
      <formula>NOT(G$15)</formula>
    </cfRule>
  </conditionalFormatting>
  <conditionalFormatting sqref="E11:E16">
    <cfRule type="expression" dxfId="16" priority="5">
      <formula>TRUE</formula>
    </cfRule>
  </conditionalFormatting>
  <conditionalFormatting sqref="BF11:BF13">
    <cfRule type="expression" dxfId="15" priority="6">
      <formula>$BF11 ="Complete: no errors"</formula>
    </cfRule>
    <cfRule type="expression" dxfId="14" priority="7">
      <formula>$BF11 = "Errors present"</formula>
    </cfRule>
  </conditionalFormatting>
  <conditionalFormatting sqref="B11:BF13">
    <cfRule type="expression" dxfId="13" priority="8">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abSelected="1" workbookViewId="0">
      <pane ySplit="10" topLeftCell="C13" activePane="bottomLeft" state="frozen"/>
      <selection pane="bottomLeft" activeCell="F15" sqref="F15"/>
    </sheetView>
  </sheetViews>
  <sheetFormatPr defaultRowHeight="14.45"/>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c r="C2" s="2" t="s">
        <v>14</v>
      </c>
    </row>
    <row r="3" spans="2:9" hidden="1"/>
    <row r="4" spans="2:9" hidden="1"/>
    <row r="5" spans="2:9" hidden="1"/>
    <row r="6" spans="2:9" hidden="1"/>
    <row r="7" spans="2:9" hidden="1"/>
    <row r="8" spans="2:9" hidden="1"/>
    <row r="10" spans="2:9" ht="32.1" customHeight="1">
      <c r="C10" s="5" t="s">
        <v>15</v>
      </c>
      <c r="D10" s="5" t="s">
        <v>16</v>
      </c>
      <c r="E10" s="5" t="s">
        <v>9</v>
      </c>
      <c r="F10" s="6" t="s">
        <v>17</v>
      </c>
      <c r="G10" s="6" t="s">
        <v>18</v>
      </c>
      <c r="H10" s="6" t="s">
        <v>19</v>
      </c>
      <c r="I10" t="s">
        <v>9</v>
      </c>
    </row>
    <row r="11" spans="2:9" ht="20.100000000000001" customHeight="1">
      <c r="B11" s="1"/>
      <c r="C11" s="53" t="s">
        <v>20</v>
      </c>
      <c r="D11" s="54"/>
      <c r="E11" s="55"/>
      <c r="F11" s="37"/>
      <c r="G11" s="38"/>
      <c r="H11" s="10" t="str">
        <f>IF(AND(ISBLANK(F11),ISBLANK(G11)),"?", "Anything entered in this row will be ignored")</f>
        <v>?</v>
      </c>
      <c r="I11" s="1">
        <v>-1</v>
      </c>
    </row>
    <row r="12" spans="2:9" ht="193.5">
      <c r="B12" s="1">
        <v>1257726</v>
      </c>
      <c r="C12" s="3" t="s">
        <v>21</v>
      </c>
      <c r="D12" s="9" t="s">
        <v>22</v>
      </c>
      <c r="E12" s="4"/>
      <c r="F12" s="7" t="s">
        <v>23</v>
      </c>
      <c r="G12" s="35">
        <v>60000</v>
      </c>
      <c r="H12" s="10"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101.25">
      <c r="B13" s="1">
        <v>1257730</v>
      </c>
      <c r="C13" s="3" t="s">
        <v>24</v>
      </c>
      <c r="D13" s="9" t="s">
        <v>25</v>
      </c>
      <c r="E13" s="4"/>
      <c r="F13" s="34" t="s">
        <v>26</v>
      </c>
      <c r="G13" s="8"/>
      <c r="H13" s="10" t="str">
        <f ca="1">IF(AND(
            OR(OFFSET($H13,0,-2) = "-",OFFSET($H13,0,-2) = ""),OFFSET($H13,0,-1) = ""),"Incomplete","Complete")</f>
        <v>Complete</v>
      </c>
      <c r="I13" s="1">
        <v>0</v>
      </c>
    </row>
    <row r="14" spans="2:9" ht="409.6">
      <c r="B14" s="1">
        <v>1257731</v>
      </c>
      <c r="C14" s="3" t="s">
        <v>27</v>
      </c>
      <c r="D14" s="9" t="s">
        <v>28</v>
      </c>
      <c r="E14" s="4"/>
      <c r="F14" s="7" t="s">
        <v>29</v>
      </c>
      <c r="G14" s="8"/>
      <c r="H14" s="10" t="str">
        <f ca="1">IF(AND(
            OR(OFFSET($H14,0,-2) = "-",OFFSET($H14,0,-2) = ""),OFFSET($H14,0,-1) = ""),"Incomplete","Complete")</f>
        <v>Complete</v>
      </c>
      <c r="I14" s="1">
        <v>1</v>
      </c>
    </row>
    <row r="15" spans="2:9" ht="46.5">
      <c r="B15" s="1">
        <v>1254674</v>
      </c>
      <c r="C15" s="3" t="s">
        <v>30</v>
      </c>
      <c r="D15" s="9" t="s">
        <v>31</v>
      </c>
      <c r="E15" s="4"/>
      <c r="F15" s="36" t="s">
        <v>32</v>
      </c>
      <c r="G15" s="8"/>
      <c r="H15" s="10" t="str">
        <f ca="1">IF(AND(
            OR(OFFSET($H15,0,-2) = "-",OFFSET($H15,0,-2) = ""),OFFSET($H15,0,-1) = ""),"Incomplete","Complete")</f>
        <v>Complete</v>
      </c>
      <c r="I15" s="1">
        <v>0</v>
      </c>
    </row>
    <row r="16" spans="2:9" ht="20.100000000000001" customHeight="1">
      <c r="B16" s="1"/>
      <c r="C16" s="53" t="s">
        <v>33</v>
      </c>
      <c r="D16" s="54"/>
      <c r="E16" s="55"/>
      <c r="F16" s="37"/>
      <c r="G16" s="38"/>
      <c r="H16" s="10" t="str">
        <f>IF(AND(ISBLANK(F16),ISBLANK(G16)),"?", "Anything entered in this row will be ignored")</f>
        <v>?</v>
      </c>
      <c r="I16" s="1">
        <v>-1</v>
      </c>
    </row>
    <row r="17" spans="2:9" ht="149.25">
      <c r="B17" s="1">
        <v>1257715</v>
      </c>
      <c r="C17" s="3" t="s">
        <v>34</v>
      </c>
      <c r="D17" s="9" t="s">
        <v>35</v>
      </c>
      <c r="E17" s="4"/>
      <c r="F17" s="7" t="s">
        <v>36</v>
      </c>
      <c r="G17" s="8"/>
      <c r="H17" s="10" t="str">
        <f ca="1">IF(AND(
            OR(OFFSET($H17,0,-2) = "-",OFFSET($H17,0,-2) = ""),OFFSET($H17,0,-1) = ""),"Incomplete","Complete")</f>
        <v>Complete</v>
      </c>
      <c r="I17" s="1">
        <v>1</v>
      </c>
    </row>
    <row r="18" spans="2:9" ht="20.100000000000001" customHeight="1">
      <c r="B18" s="1"/>
      <c r="C18" s="53" t="s">
        <v>37</v>
      </c>
      <c r="D18" s="54"/>
      <c r="E18" s="55"/>
      <c r="F18" s="7"/>
      <c r="G18" s="38"/>
      <c r="H18" s="10" t="str">
        <f>IF(AND(ISBLANK(#REF!),ISBLANK(G18)),"?", "Anything entered in this row will be ignored")</f>
        <v>Anything entered in this row will be ignored</v>
      </c>
      <c r="I18" s="1">
        <v>-1</v>
      </c>
    </row>
    <row r="19" spans="2:9" ht="45">
      <c r="B19" s="1">
        <v>1257733</v>
      </c>
      <c r="C19" s="3" t="s">
        <v>38</v>
      </c>
      <c r="D19" s="9" t="s">
        <v>39</v>
      </c>
      <c r="E19" s="4"/>
      <c r="F19" t="s">
        <v>40</v>
      </c>
      <c r="G19" s="8"/>
      <c r="H19" s="10"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c r="B20" s="1">
        <v>1257734</v>
      </c>
      <c r="C20" s="3" t="s">
        <v>41</v>
      </c>
      <c r="D20" s="9" t="s">
        <v>42</v>
      </c>
      <c r="E20" s="4"/>
      <c r="F20" s="7" t="s">
        <v>43</v>
      </c>
      <c r="G20" s="8"/>
      <c r="H20" s="10"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0">
      <c r="B21" s="1">
        <v>1257738</v>
      </c>
      <c r="C21" s="3" t="s">
        <v>44</v>
      </c>
      <c r="D21" s="9" t="s">
        <v>45</v>
      </c>
      <c r="E21" s="4"/>
      <c r="F21" s="7" t="s">
        <v>43</v>
      </c>
      <c r="G21" s="8"/>
      <c r="H21" s="10"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5">
      <c r="B22" s="1">
        <v>1257740</v>
      </c>
      <c r="C22" s="3" t="s">
        <v>46</v>
      </c>
      <c r="D22" s="9" t="s">
        <v>47</v>
      </c>
      <c r="E22" s="4"/>
      <c r="F22" s="7" t="s">
        <v>43</v>
      </c>
      <c r="G22" s="8"/>
      <c r="H22" s="10"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c r="B23" s="1">
        <v>1258124</v>
      </c>
      <c r="C23" s="3" t="s">
        <v>48</v>
      </c>
      <c r="D23" s="9" t="s">
        <v>49</v>
      </c>
      <c r="E23" s="4"/>
      <c r="F23" s="7" t="s">
        <v>43</v>
      </c>
      <c r="G23" s="8"/>
      <c r="H23" s="10"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283.5">
      <c r="B24" s="1">
        <v>1258128</v>
      </c>
      <c r="C24" s="3" t="s">
        <v>50</v>
      </c>
      <c r="D24" s="9" t="s">
        <v>51</v>
      </c>
      <c r="E24" s="4"/>
      <c r="F24" s="7" t="s">
        <v>52</v>
      </c>
      <c r="G24" s="8"/>
      <c r="H24" s="10" t="str">
        <f ca="1">IF(AND(
            OR(OFFSET($H24,0,-2) = "-",OFFSET($H24,0,-2) = ""),OFFSET($H24,0,-1) = ""),"Incomplete","Complete")</f>
        <v>Complete</v>
      </c>
      <c r="I24" s="1">
        <v>0</v>
      </c>
    </row>
    <row r="25" spans="2:9" ht="104.25">
      <c r="B25" s="1">
        <v>1258129</v>
      </c>
      <c r="C25" s="3" t="s">
        <v>53</v>
      </c>
      <c r="D25" s="9" t="s">
        <v>54</v>
      </c>
      <c r="E25" s="4"/>
      <c r="F25" s="7" t="s">
        <v>55</v>
      </c>
      <c r="G25" s="8"/>
      <c r="H25" s="10" t="str">
        <f ca="1">IF(AND(
            OR(OFFSET($H25,0,-2) = "-",OFFSET($H25,0,-2) = ""),OFFSET($H25,0,-1) = ""),"Incomplete","Complete")</f>
        <v>Complete</v>
      </c>
      <c r="I25" s="1">
        <v>1</v>
      </c>
    </row>
    <row r="26" spans="2:9" ht="60">
      <c r="B26" s="1">
        <v>1258132</v>
      </c>
      <c r="C26" s="3" t="s">
        <v>56</v>
      </c>
      <c r="D26" s="9" t="s">
        <v>57</v>
      </c>
      <c r="E26" s="4"/>
      <c r="F26" s="7" t="s">
        <v>43</v>
      </c>
      <c r="G26" s="8"/>
      <c r="H26" s="10"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4.25">
      <c r="B27" s="1">
        <v>1258137</v>
      </c>
      <c r="C27" s="3" t="s">
        <v>58</v>
      </c>
      <c r="D27" s="9" t="s">
        <v>59</v>
      </c>
      <c r="E27" s="4"/>
      <c r="F27" s="7" t="s">
        <v>60</v>
      </c>
      <c r="G27" s="8"/>
      <c r="H27" s="10" t="str">
        <f ca="1">IF(AND(
            OR(OFFSET($H27,0,-2) = "-",OFFSET($H27,0,-2) = ""),OFFSET($H27,0,-1) = ""),"Incomplete","Complete")</f>
        <v>Complete</v>
      </c>
      <c r="I27" s="1">
        <v>1</v>
      </c>
    </row>
    <row r="28" spans="2:9" ht="283.5">
      <c r="B28" s="1">
        <v>1258139</v>
      </c>
      <c r="C28" s="3" t="s">
        <v>61</v>
      </c>
      <c r="D28" s="9" t="s">
        <v>62</v>
      </c>
      <c r="E28" s="4"/>
      <c r="F28" s="7" t="s">
        <v>63</v>
      </c>
      <c r="G28" s="8"/>
      <c r="H28" s="10" t="str">
        <f ca="1">IF(AND(
            OR(OFFSET($H28,0,-2) = "-",OFFSET($H28,0,-2) = ""),OFFSET($H28,0,-1) = ""),"Incomplete","Complete")</f>
        <v>Complete</v>
      </c>
      <c r="I28" s="1">
        <v>0</v>
      </c>
    </row>
    <row r="29" spans="2:9" ht="104.25">
      <c r="B29" s="1">
        <v>1258141</v>
      </c>
      <c r="C29" s="3" t="s">
        <v>64</v>
      </c>
      <c r="D29" s="9" t="s">
        <v>65</v>
      </c>
      <c r="E29" s="4"/>
      <c r="F29" s="7" t="s">
        <v>66</v>
      </c>
      <c r="G29" s="8"/>
      <c r="H29" s="10" t="str">
        <f ca="1">IF(AND(
            OR(OFFSET($H29,0,-2) = "-",OFFSET($H29,0,-2) = ""),OFFSET($H29,0,-1) = ""),"Incomplete","Complete")</f>
        <v>Complete</v>
      </c>
      <c r="I29" s="1">
        <v>1</v>
      </c>
    </row>
    <row r="30" spans="2:9" ht="74.25">
      <c r="B30" s="1">
        <v>1363343</v>
      </c>
      <c r="C30" s="3" t="s">
        <v>67</v>
      </c>
      <c r="D30" s="9" t="s">
        <v>68</v>
      </c>
      <c r="E30" s="4"/>
      <c r="F30" s="7" t="s">
        <v>69</v>
      </c>
      <c r="G30" s="8"/>
      <c r="H30" s="10" t="str">
        <f ca="1">IF(AND(
            OR(OFFSET($H30,0,-2) = "-",OFFSET($H30,0,-2) = ""),OFFSET($H30,0,-1) = ""),"Incomplete","Complete")</f>
        <v>Complete</v>
      </c>
      <c r="I30" s="1">
        <v>0</v>
      </c>
    </row>
    <row r="31" spans="2:9" ht="45">
      <c r="B31" s="1">
        <v>1363448</v>
      </c>
      <c r="C31" s="3" t="s">
        <v>70</v>
      </c>
      <c r="D31" s="9" t="s">
        <v>71</v>
      </c>
      <c r="E31" s="4"/>
      <c r="F31" s="7" t="s">
        <v>40</v>
      </c>
      <c r="G31" s="8"/>
      <c r="H31" s="10"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74.25">
      <c r="B32" s="1">
        <v>1258142</v>
      </c>
      <c r="C32" s="3" t="s">
        <v>72</v>
      </c>
      <c r="D32" s="9" t="s">
        <v>73</v>
      </c>
      <c r="E32" s="4"/>
      <c r="F32" s="7" t="s">
        <v>74</v>
      </c>
      <c r="G32" s="8"/>
      <c r="H32" s="10" t="str">
        <f ca="1">IF(AND(
            OR(OFFSET($H32,0,-2) = "-",OFFSET($H32,0,-2) = ""),OFFSET($H32,0,-1) = ""),"Incomplete","Complete")</f>
        <v>Complete</v>
      </c>
      <c r="I32" s="1">
        <v>0</v>
      </c>
    </row>
    <row r="33" spans="2:8" ht="27" customHeight="1">
      <c r="B33">
        <v>-1</v>
      </c>
      <c r="C33" s="56">
        <f>COUNTIF(I11:I32,"&lt;&gt;-1")</f>
        <v>19</v>
      </c>
      <c r="D33" s="57"/>
      <c r="E33" s="39"/>
      <c r="F33" s="58">
        <f ca="1">IF(C33=0,1,(COUNTIF(H11:H32,TRUE)+COUNTIF(H11:H32,"Complete")) / (C33))</f>
        <v>1</v>
      </c>
      <c r="G33" s="57"/>
      <c r="H33" s="24"/>
    </row>
  </sheetData>
  <sheetProtection password="E36C" sheet="1" objects="1" scenarios="1" insertHyperlinks="0"/>
  <mergeCells count="5">
    <mergeCell ref="C11:E11"/>
    <mergeCell ref="C16:E16"/>
    <mergeCell ref="C18:E18"/>
    <mergeCell ref="C33:D33"/>
    <mergeCell ref="F33:G33"/>
  </mergeCells>
  <conditionalFormatting sqref="H11">
    <cfRule type="containsText" dxfId="12" priority="1" operator="containsText" text="~?">
      <formula>NOT(ISERROR(SEARCH("~?",H11)))</formula>
    </cfRule>
  </conditionalFormatting>
  <conditionalFormatting sqref="H16">
    <cfRule type="containsText" dxfId="11" priority="2" operator="containsText" text="~?">
      <formula>NOT(ISERROR(SEARCH("~?",H16)))</formula>
    </cfRule>
  </conditionalFormatting>
  <conditionalFormatting sqref="H18">
    <cfRule type="containsText" dxfId="10" priority="3" operator="containsText" text="~?">
      <formula>NOT(ISERROR(SEARCH("~?",H18)))</formula>
    </cfRule>
  </conditionalFormatting>
  <conditionalFormatting sqref="C11:G17 C20:G32 C18:E19 G18:G19">
    <cfRule type="expression" dxfId="9" priority="4">
      <formula>$I11=1</formula>
    </cfRule>
  </conditionalFormatting>
  <conditionalFormatting sqref="H11">
    <cfRule type="expression" dxfId="8" priority="5">
      <formula>$H11=""</formula>
    </cfRule>
  </conditionalFormatting>
  <conditionalFormatting sqref="H16">
    <cfRule type="expression" dxfId="7" priority="6">
      <formula>$H16=""</formula>
    </cfRule>
  </conditionalFormatting>
  <conditionalFormatting sqref="H18">
    <cfRule type="expression" dxfId="6" priority="7">
      <formula>$H18=""</formula>
    </cfRule>
  </conditionalFormatting>
  <conditionalFormatting sqref="H11:H32">
    <cfRule type="expression" dxfId="5" priority="8">
      <formula>$H11 ="Complete"</formula>
    </cfRule>
    <cfRule type="expression" dxfId="4" priority="9">
      <formula>$H11=1</formula>
    </cfRule>
    <cfRule type="expression" dxfId="3" priority="10">
      <formula>$H11</formula>
    </cfRule>
    <cfRule type="expression" dxfId="2" priority="11">
      <formula>AND(NOT(ISBLANK($H11)), NOT($H11))</formula>
    </cfRule>
    <cfRule type="expression" dxfId="1" priority="12">
      <formula>NOT(ISBLANK($H11))</formula>
    </cfRule>
  </conditionalFormatting>
  <conditionalFormatting sqref="F18">
    <cfRule type="expression" dxfId="0" priority="14">
      <formula>$I19=1</formula>
    </cfRule>
  </conditionalFormatting>
  <dataValidations count="7">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 type="list" showErrorMessage="1" errorTitle="Error - Invalid Input" error="Please select an item from the drop-down list." sqref="F20 F18" xr:uid="{00000000-0002-0000-0200-000000000000}">
      <formula1>"Yes,No"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4.45"/>
  <sheetData>
    <row r="1" spans="1:21">
      <c r="A1" s="22" t="s">
        <v>75</v>
      </c>
      <c r="B1" s="1" t="b">
        <f>FALSE()</f>
        <v>0</v>
      </c>
      <c r="C1" s="1" t="b">
        <f>FALSE()</f>
        <v>0</v>
      </c>
      <c r="D1" s="22" t="s">
        <v>40</v>
      </c>
      <c r="E1" s="1" t="b">
        <f>FALSE()</f>
        <v>0</v>
      </c>
      <c r="F1" s="1" t="b">
        <f>TRUE()</f>
        <v>1</v>
      </c>
      <c r="G1" s="22" t="s">
        <v>76</v>
      </c>
      <c r="H1" s="1" t="b">
        <f>TRUE()</f>
        <v>1</v>
      </c>
      <c r="I1" s="1" t="b">
        <f>FALSE()</f>
        <v>0</v>
      </c>
      <c r="J1" s="22" t="s">
        <v>77</v>
      </c>
      <c r="K1" s="1" t="b">
        <f>TRUE()</f>
        <v>1</v>
      </c>
      <c r="L1" s="1" t="b">
        <f>FALSE()</f>
        <v>0</v>
      </c>
      <c r="M1" s="22" t="s">
        <v>78</v>
      </c>
      <c r="N1" s="1" t="b">
        <f>TRUE()</f>
        <v>1</v>
      </c>
      <c r="O1" s="1" t="b">
        <f>FALSE()</f>
        <v>0</v>
      </c>
      <c r="P1" s="22" t="s">
        <v>79</v>
      </c>
      <c r="Q1" s="1" t="b">
        <f>TRUE()</f>
        <v>1</v>
      </c>
      <c r="R1" s="1" t="b">
        <f>FALSE()</f>
        <v>0</v>
      </c>
      <c r="S1" s="22" t="s">
        <v>40</v>
      </c>
      <c r="T1" s="1" t="b">
        <f>FALSE()</f>
        <v>0</v>
      </c>
      <c r="U1" s="1" t="b">
        <f>FALSE()</f>
        <v>0</v>
      </c>
    </row>
    <row r="2" spans="1:21">
      <c r="A2" s="22" t="s">
        <v>23</v>
      </c>
      <c r="B2" s="1" t="b">
        <f>FALSE()</f>
        <v>0</v>
      </c>
      <c r="C2" s="1" t="b">
        <f>FALSE()</f>
        <v>0</v>
      </c>
      <c r="D2" s="22" t="s">
        <v>43</v>
      </c>
      <c r="E2" s="1" t="b">
        <f>FALSE()</f>
        <v>0</v>
      </c>
      <c r="F2" s="1" t="b">
        <f>TRUE()</f>
        <v>1</v>
      </c>
      <c r="G2" s="22" t="s">
        <v>43</v>
      </c>
      <c r="H2" s="1" t="b">
        <f>FALSE()</f>
        <v>0</v>
      </c>
      <c r="I2" s="1" t="b">
        <f>TRUE()</f>
        <v>1</v>
      </c>
      <c r="J2" s="22" t="s">
        <v>43</v>
      </c>
      <c r="K2" s="1" t="b">
        <f>FALSE()</f>
        <v>0</v>
      </c>
      <c r="L2" s="1" t="b">
        <f>TRUE()</f>
        <v>1</v>
      </c>
      <c r="M2" s="22" t="s">
        <v>43</v>
      </c>
      <c r="N2" s="1" t="b">
        <f>FALSE()</f>
        <v>0</v>
      </c>
      <c r="O2" s="1" t="b">
        <f>TRUE()</f>
        <v>1</v>
      </c>
      <c r="P2" s="22" t="s">
        <v>43</v>
      </c>
      <c r="Q2" s="1" t="b">
        <f>FALSE()</f>
        <v>0</v>
      </c>
      <c r="R2" s="1" t="b">
        <f>TRUE()</f>
        <v>1</v>
      </c>
      <c r="S2" s="22" t="s">
        <v>80</v>
      </c>
      <c r="T2" s="1" t="b">
        <f>TRUE()</f>
        <v>1</v>
      </c>
      <c r="U2" s="1" t="b">
        <f>FALSE()</f>
        <v>0</v>
      </c>
    </row>
    <row r="3" spans="1:21">
      <c r="A3" s="22" t="s">
        <v>81</v>
      </c>
      <c r="B3" s="1" t="b">
        <f>FALSE()</f>
        <v>0</v>
      </c>
      <c r="C3" s="1" t="b">
        <f>FALSE()</f>
        <v>0</v>
      </c>
      <c r="D3" s="1" t="s">
        <v>82</v>
      </c>
      <c r="E3" s="1"/>
      <c r="F3" s="1"/>
      <c r="G3" s="1" t="s">
        <v>83</v>
      </c>
      <c r="H3" s="1"/>
      <c r="I3" s="1"/>
      <c r="J3" s="1" t="s">
        <v>84</v>
      </c>
      <c r="K3" s="1"/>
      <c r="L3" s="1"/>
      <c r="M3" s="1" t="s">
        <v>85</v>
      </c>
      <c r="N3" s="1"/>
      <c r="O3" s="1"/>
      <c r="P3" s="1" t="s">
        <v>86</v>
      </c>
      <c r="Q3" s="1"/>
      <c r="R3" s="1"/>
      <c r="S3" s="1" t="s">
        <v>87</v>
      </c>
      <c r="T3" s="1"/>
      <c r="U3" s="1"/>
    </row>
    <row r="4" spans="1:21">
      <c r="A4" s="1" t="s">
        <v>88</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2c8ad5-87c0-4f5e-aa72-61472d6e6d8b" xsi:nil="true"/>
    <lcf76f155ced4ddcb4097134ff3c332f xmlns="c7310f04-012c-4501-9b57-4cca7da4c18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1C2DE906D43D44B1DBFA1CCAA8926C" ma:contentTypeVersion="17" ma:contentTypeDescription="Create a new document." ma:contentTypeScope="" ma:versionID="6cb6b295b5363d304e78f0ec61817b80">
  <xsd:schema xmlns:xsd="http://www.w3.org/2001/XMLSchema" xmlns:xs="http://www.w3.org/2001/XMLSchema" xmlns:p="http://schemas.microsoft.com/office/2006/metadata/properties" xmlns:ns2="c7310f04-012c-4501-9b57-4cca7da4c18b" xmlns:ns3="9f2c8ad5-87c0-4f5e-aa72-61472d6e6d8b" targetNamespace="http://schemas.microsoft.com/office/2006/metadata/properties" ma:root="true" ma:fieldsID="6a07390621c5afe2a5a536dbf93df491" ns2:_="" ns3:_="">
    <xsd:import namespace="c7310f04-012c-4501-9b57-4cca7da4c18b"/>
    <xsd:import namespace="9f2c8ad5-87c0-4f5e-aa72-61472d6e6d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310f04-012c-4501-9b57-4cca7da4c1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0264c07-9a45-4651-b526-f78f6c240b0d"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2c8ad5-87c0-4f5e-aa72-61472d6e6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f0194b1-a183-4227-9244-e37001e420aa}" ma:internalName="TaxCatchAll" ma:showField="CatchAllData" ma:web="9f2c8ad5-87c0-4f5e-aa72-61472d6e6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35F824-C4D7-4F24-A761-25FEB797533C}"/>
</file>

<file path=customXml/itemProps2.xml><?xml version="1.0" encoding="utf-8"?>
<ds:datastoreItem xmlns:ds="http://schemas.openxmlformats.org/officeDocument/2006/customXml" ds:itemID="{A6EB439E-FBDB-4A64-9B39-C7C921B290E3}"/>
</file>

<file path=customXml/itemProps3.xml><?xml version="1.0" encoding="utf-8"?>
<ds:datastoreItem xmlns:ds="http://schemas.openxmlformats.org/officeDocument/2006/customXml" ds:itemID="{94FFD329-63FC-4E79-92C5-FD2DF594E7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Abigail Caldwell</cp:lastModifiedBy>
  <cp:revision/>
  <dcterms:created xsi:type="dcterms:W3CDTF">2025-03-25T22:07:13Z</dcterms:created>
  <dcterms:modified xsi:type="dcterms:W3CDTF">2025-03-27T22:01:48Z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0x010100A81C2DE906D43D44B1DBFA1CCAA8926C</vt:lpwstr>
  </property>
  <property fmtid="{D5CDD505-2E9C-101B-9397-08002B2CF9AE}" pid="3" name="MediaServiceImageTags">
    <vt:lpwstr/>
  </property>
</Properties>
</file>