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6"/>
  <workbookPr codeName="ThisWorkbook"/>
  <mc:AlternateContent xmlns:mc="http://schemas.openxmlformats.org/markup-compatibility/2006">
    <mc:Choice Requires="x15">
      <x15ac:absPath xmlns:x15ac="http://schemas.microsoft.com/office/spreadsheetml/2010/11/ac" url="S:\Exec Director\Development - executive\Grants\2025-2026\HSAB - bonefire platform reg done\Application\"/>
    </mc:Choice>
  </mc:AlternateContent>
  <xr:revisionPtr revIDLastSave="0" documentId="13_ncr:1_{DFEC36F1-4AC6-44F0-BE93-14379699E723}" xr6:coauthVersionLast="36" xr6:coauthVersionMax="36" xr10:uidLastSave="{00000000-0000-0000-0000-000000000000}"/>
  <workbookProtection lockStructure="1"/>
  <bookViews>
    <workbookView xWindow="0" yWindow="0" windowWidth="23040" windowHeight="9936" activeTab="2" xr2:uid="{00000000-000D-0000-FFFF-FFFF00000000}"/>
  </bookViews>
  <sheets>
    <sheet name="Instructions" sheetId="1" r:id="rId1"/>
    <sheet name="Summary" sheetId="2" r:id="rId2"/>
    <sheet name="1" sheetId="3" r:id="rId3"/>
    <sheet name="Response Options (hidden)" sheetId="4" state="veryHidden" r:id="rId4"/>
  </sheets>
  <definedNames>
    <definedName name="responseOption0">'Response Options (hidden)'!$A$1:$A$3</definedName>
    <definedName name="responseOption1">'Response Options (hidden)'!$D$1:$D$2</definedName>
    <definedName name="responseOption2">'Response Options (hidden)'!$G$1:$G$2</definedName>
    <definedName name="responseOption3">'Response Options (hidden)'!$J$1:$J$2</definedName>
    <definedName name="responseOption4">'Response Options (hidden)'!$M$1:$M$2</definedName>
    <definedName name="responseOption5">'Response Options (hidden)'!$P$1:$P$2</definedName>
    <definedName name="responseOption6">'Response Options (hidden)'!$S$1:$S$2</definedName>
    <definedName name="responseValidationRulesGroup0">'Response Options (hidden)'!$A$1:$C$4</definedName>
    <definedName name="responseValidationRulesGroup1">'Response Options (hidden)'!$D$1:$F$3</definedName>
    <definedName name="responseValidationRulesGroup2">'Response Options (hidden)'!$G$1:$I$3</definedName>
    <definedName name="responseValidationRulesGroup3">'Response Options (hidden)'!$J$1:$L$3</definedName>
    <definedName name="responseValidationRulesGroup4">'Response Options (hidden)'!$M$1:$O$3</definedName>
    <definedName name="responseValidationRulesGroup5">'Response Options (hidden)'!$P$1:$R$3</definedName>
    <definedName name="responseValidationRulesGroup6">'Response Options (hidden)'!$S$1:$U$3</definedName>
  </definedNames>
  <calcPr calcId="191029" forceFullCalc="1"/>
</workbook>
</file>

<file path=xl/calcChain.xml><?xml version="1.0" encoding="utf-8"?>
<calcChain xmlns="http://schemas.openxmlformats.org/spreadsheetml/2006/main">
  <c r="C3" i="4" l="1"/>
  <c r="B3" i="4"/>
  <c r="U2" i="4"/>
  <c r="T2" i="4"/>
  <c r="H31" i="3" s="1"/>
  <c r="R2" i="4"/>
  <c r="Q2" i="4"/>
  <c r="O2" i="4"/>
  <c r="N2" i="4"/>
  <c r="L2" i="4"/>
  <c r="K2" i="4"/>
  <c r="I2" i="4"/>
  <c r="H2" i="4"/>
  <c r="F2" i="4"/>
  <c r="E2" i="4"/>
  <c r="C2" i="4"/>
  <c r="B2" i="4"/>
  <c r="U1" i="4"/>
  <c r="T1" i="4"/>
  <c r="R1" i="4"/>
  <c r="Q1" i="4"/>
  <c r="O1" i="4"/>
  <c r="N1" i="4"/>
  <c r="L1" i="4"/>
  <c r="K1" i="4"/>
  <c r="H22" i="3" s="1"/>
  <c r="I1" i="4"/>
  <c r="H1" i="4"/>
  <c r="F1" i="4"/>
  <c r="E1" i="4"/>
  <c r="C1" i="4"/>
  <c r="B1" i="4"/>
  <c r="C33" i="3"/>
  <c r="C11" i="2" s="1"/>
  <c r="C14" i="2" s="1"/>
  <c r="H32" i="3"/>
  <c r="H30" i="3"/>
  <c r="H29" i="3"/>
  <c r="H28" i="3"/>
  <c r="H27" i="3"/>
  <c r="H25" i="3"/>
  <c r="H24" i="3"/>
  <c r="H18" i="3"/>
  <c r="H17" i="3"/>
  <c r="H16" i="3"/>
  <c r="H15" i="3"/>
  <c r="H14" i="3"/>
  <c r="H13" i="3"/>
  <c r="H11" i="3"/>
  <c r="H21" i="3" l="1"/>
  <c r="H23" i="3"/>
  <c r="H12" i="3"/>
  <c r="H19" i="3"/>
  <c r="H26" i="3"/>
  <c r="H20" i="3"/>
  <c r="F33" i="3" l="1"/>
  <c r="E11" i="2" s="1"/>
  <c r="AD12" i="2" s="1"/>
  <c r="I12" i="2" l="1"/>
  <c r="K12" i="2"/>
  <c r="Q12" i="2"/>
  <c r="AS12" i="2"/>
  <c r="AU12" i="2"/>
  <c r="BB12" i="2"/>
  <c r="AT12" i="2"/>
  <c r="AO12" i="2"/>
  <c r="BA12" i="2"/>
  <c r="H12" i="2"/>
  <c r="AX12" i="2"/>
  <c r="AJ12" i="2"/>
  <c r="M12" i="2"/>
  <c r="Y12" i="2"/>
  <c r="AH12" i="2"/>
  <c r="AM12" i="2"/>
  <c r="BC12" i="2"/>
  <c r="AP12" i="2"/>
  <c r="J12" i="2"/>
  <c r="AC12" i="2"/>
  <c r="AI12" i="2"/>
  <c r="X12" i="2"/>
  <c r="AV12" i="2"/>
  <c r="AL12" i="2"/>
  <c r="N12" i="2"/>
  <c r="T12" i="2"/>
  <c r="O12" i="2"/>
  <c r="W12" i="2"/>
  <c r="P12" i="2"/>
  <c r="AF12" i="2"/>
  <c r="AA12" i="2"/>
  <c r="AN12" i="2"/>
  <c r="AR12" i="2"/>
  <c r="AK12" i="2"/>
  <c r="G12" i="2"/>
  <c r="BD12" i="2"/>
  <c r="AY12" i="2"/>
  <c r="AB12" i="2"/>
  <c r="S12" i="2"/>
  <c r="U12" i="2"/>
  <c r="L12" i="2"/>
  <c r="AZ12" i="2"/>
  <c r="AE12" i="2"/>
  <c r="AG12" i="2"/>
  <c r="AW12" i="2"/>
  <c r="R12" i="2"/>
  <c r="E14" i="2"/>
  <c r="AD15" i="2" s="1"/>
  <c r="AQ12" i="2"/>
  <c r="V12" i="2"/>
  <c r="Z12" i="2"/>
  <c r="BF11" i="2"/>
  <c r="AF15" i="2" l="1"/>
  <c r="AB15" i="2"/>
  <c r="W15" i="2"/>
  <c r="G15" i="2"/>
  <c r="AG15" i="2"/>
  <c r="AN15" i="2"/>
  <c r="AI15" i="2"/>
  <c r="AQ15" i="2"/>
  <c r="AT15" i="2"/>
  <c r="AZ15" i="2"/>
  <c r="AU15" i="2"/>
  <c r="BD15" i="2"/>
  <c r="L15" i="2"/>
  <c r="Q15" i="2"/>
  <c r="H15" i="2"/>
  <c r="U15" i="2"/>
  <c r="X15" i="2"/>
  <c r="BA15" i="2"/>
  <c r="AR15" i="2"/>
  <c r="AH15" i="2"/>
  <c r="AV15" i="2"/>
  <c r="R15" i="2"/>
  <c r="AS15" i="2"/>
  <c r="AJ15" i="2"/>
  <c r="O15" i="2"/>
  <c r="AP15" i="2"/>
  <c r="V15" i="2"/>
  <c r="N15" i="2"/>
  <c r="AA15" i="2"/>
  <c r="AE15" i="2"/>
  <c r="M15" i="2"/>
  <c r="Z15" i="2"/>
  <c r="AC15" i="2"/>
  <c r="AM15" i="2"/>
  <c r="T15" i="2"/>
  <c r="Y15" i="2"/>
  <c r="AL15" i="2"/>
  <c r="BB15" i="2"/>
  <c r="AY15" i="2"/>
  <c r="I15" i="2"/>
  <c r="AK15" i="2"/>
  <c r="AX15" i="2"/>
  <c r="S15" i="2"/>
  <c r="AO15" i="2"/>
  <c r="J15" i="2"/>
  <c r="AW15" i="2"/>
  <c r="BC15" i="2"/>
  <c r="P15" i="2"/>
  <c r="K15" i="2"/>
</calcChain>
</file>

<file path=xl/sharedStrings.xml><?xml version="1.0" encoding="utf-8"?>
<sst xmlns="http://schemas.openxmlformats.org/spreadsheetml/2006/main" count="120" uniqueCount="95">
  <si>
    <t>48a0ed7666e9737d608e5c3d094aa714e0f2060f2c12e32571a86509f392edf5c869f85afa9616c7ea724aaa05bb6ac36bef0d053f370bc924356be3704d28ceuk7J61hVhblsxttDd3qf02/ssO0nA064IOgsN+e+Up2dW5KEI2HfGzthQWJzn1Mt</t>
  </si>
  <si>
    <t>HSAB Applicant Questions (Q-59IT)</t>
  </si>
  <si>
    <t>Instructions</t>
  </si>
  <si>
    <t>- The Summary worksheet displays your overall progress for the questionnaire.
- The worksheets numbered from 1 to N represent question sets.
- For each question set, select a response from the dropdown (if applicable) and enter a response comment for each question in the table.
- If specific instructions have been provided for a given subset, they will appear as a tooltip for a purple cell. Mouse-over to review them.
- When pasting content, please use Paste Special as Text without any formatting.
- You can only submit text based responses, please do not use special characters like emojis.
- Please do not change the structure of any of the worksheets. Changing the structure will invalidate your submission.
- Any additional information outside of the given structure of the worksheets will not be visible to the purchaser.
- Please do not save this file in a different format. Saving this file in a different format will invalidate your submission.
- Please do not use Excel formulas in your responses.
- Please follow the instructions provided along with this file to submit it back to Bonfire.
- If you have any questions regarding the content of this file, please contact the appropriate purchaser.
- If you have any technical problems, please contact Bonfire at Support@GoBonfire.com.</t>
  </si>
  <si>
    <t>Additional Instructions</t>
  </si>
  <si>
    <t>Summary tab shows progress completed, Tab 1 contains the questions to be answered.</t>
  </si>
  <si>
    <t>Total</t>
  </si>
  <si>
    <t>Summary</t>
  </si>
  <si>
    <t>Question Set</t>
  </si>
  <si>
    <t>Questions</t>
  </si>
  <si>
    <t>Hide Me</t>
  </si>
  <si>
    <t>% Complete</t>
  </si>
  <si>
    <t>Progress</t>
  </si>
  <si>
    <t>Error?</t>
  </si>
  <si>
    <t>Question Set 1: Questions</t>
  </si>
  <si>
    <t>#</t>
  </si>
  <si>
    <t>Question</t>
  </si>
  <si>
    <t>Response</t>
  </si>
  <si>
    <t>Comment</t>
  </si>
  <si>
    <t>Status</t>
  </si>
  <si>
    <t>General Use of Funds</t>
  </si>
  <si>
    <t>1.1.1</t>
  </si>
  <si>
    <t xml:space="preserve">
Amount requested for the upcoming fiscal year and select the category that best matches the proposed services. If the proposed program involves more than one (1) category enter the budget request for each category.
-Medical Services: Medical, mental, and dental care for the economically disadvantaged.
-Core Social Services: Essential services such as food clothing or housing: emergency disaster; family violence; and adult and child daycare.
-Quality of Life Improvement Services: Services provided to improve the quality of life for individuals or the community such as educational, preventative, training, recreational, and cultural services; etc.
</t>
  </si>
  <si>
    <t>-</t>
  </si>
  <si>
    <t>1.1.2</t>
  </si>
  <si>
    <t xml:space="preserve">
Insert your agency’s board-approved mission statement only.
</t>
  </si>
  <si>
    <t>1.1.3</t>
  </si>
  <si>
    <t xml:space="preserve">
List the services your agency provides.
</t>
  </si>
  <si>
    <t>1.1.4</t>
  </si>
  <si>
    <t xml:space="preserve">
For fiscal year 2026, specifically how will the amount requested be utilized?
</t>
  </si>
  <si>
    <t>Cover Letter</t>
  </si>
  <si>
    <t>1.2.1</t>
  </si>
  <si>
    <t xml:space="preserve">
I: Provide a brief overview of your organization, what unique role in the community does your organization's proposed program fulfill that no one else does? 
II: Collaboration between agencies can bring cost-savings for all. Please describe any current cost-sharing measures, overlap, common associations, common services, networking and working relationships, or sub-contractor relationships you are involved in with any other organizations. Examples may include, but aren't limited to, shared services such as human resources, payroll processing, or IT, board members, or personnel.
</t>
  </si>
  <si>
    <t>Application Questions</t>
  </si>
  <si>
    <t>1.3.1</t>
  </si>
  <si>
    <t xml:space="preserve">
Have you previously been funded by HSAB?
</t>
  </si>
  <si>
    <t>1.3.2</t>
  </si>
  <si>
    <t xml:space="preserve">
Will County HSAB funds be used as match for a grant?
</t>
  </si>
  <si>
    <t>1.3.3</t>
  </si>
  <si>
    <t xml:space="preserve">
Have you experienced any changes specific to expansion or contraction of services, staff or location.
</t>
  </si>
  <si>
    <t>1.3.4</t>
  </si>
  <si>
    <t xml:space="preserve">
Did your agency lose any funding, or partial funding in 2025?
</t>
  </si>
  <si>
    <t>1.3.5</t>
  </si>
  <si>
    <t xml:space="preserve">
Will you or have you applied for other sources of County funding? 
(Please include these on the Agency Revenue form)
</t>
  </si>
  <si>
    <t>1.3.6</t>
  </si>
  <si>
    <t xml:space="preserve">
Describe your target population as specifically as possible.
</t>
  </si>
  <si>
    <t>1.3.7</t>
  </si>
  <si>
    <t xml:space="preserve">
How are clients referred to your agency?
</t>
  </si>
  <si>
    <t>1.3.8</t>
  </si>
  <si>
    <t xml:space="preserve">
Have you failed to submit any required reimbursement request, or the annual performance report as required by the grant agreement?
</t>
  </si>
  <si>
    <t>1.3.9</t>
  </si>
  <si>
    <t xml:space="preserve">
__________ hours of program service were contributed by ____________ volunteers in the last year (FY2023 - October 1, 2023 through September 30, 2024).
</t>
  </si>
  <si>
    <t>1.3.10</t>
  </si>
  <si>
    <t xml:space="preserve">
What measurable outcomes do you plan to accomplish in the next funding year and how will you measure these?
</t>
  </si>
  <si>
    <t>1.3.11</t>
  </si>
  <si>
    <t xml:space="preserve">
Provide information about units of service in the format below. (Response not required is applying for $5,000 or less).
Service: ______      Unit (Hour, session, day, etc.): ________       Cost charged per unit to client (range for current year): _____________
</t>
  </si>
  <si>
    <t>1.3.12</t>
  </si>
  <si>
    <t xml:space="preserve">
What is the current number of employees, full-time and part-time, on the payroll for the entire organization? How many employees ("snapshot") does your organization have as of today's date?
</t>
  </si>
  <si>
    <t>1.3.13</t>
  </si>
  <si>
    <t xml:space="preserve">
Is your organization fully staffed?
</t>
  </si>
  <si>
    <t>1.3.14</t>
  </si>
  <si>
    <t xml:space="preserve">
Address any topics not covered or include any additional information you would like the board to know (optional). Documents can be added in file uploads as under additional documentation.
</t>
  </si>
  <si>
    <t>Medical Services</t>
  </si>
  <si>
    <t>Core Social Services</t>
  </si>
  <si>
    <t>Quality of Life Improvement Services</t>
  </si>
  <si>
    <t>Medical Services, Core Social Services, Quality of Life Improvement Services</t>
  </si>
  <si>
    <t>Yes</t>
  </si>
  <si>
    <t>No</t>
  </si>
  <si>
    <t>Yes, No</t>
  </si>
  <si>
    <t>Yes; what changed?</t>
  </si>
  <si>
    <t>Yes; what changed?, No</t>
  </si>
  <si>
    <t>Yes; How much? From what source? Why was funding lost?</t>
  </si>
  <si>
    <t>Yes; How much? From what source? Why was funding lost?, No</t>
  </si>
  <si>
    <t>Yes - Please list source(s) and amount(s).</t>
  </si>
  <si>
    <t>Yes - Please list source(s) and amount(s)., No</t>
  </si>
  <si>
    <t>Yes - Please explain why you failed to meet the deadline</t>
  </si>
  <si>
    <t>Yes - Please explain why you failed to meet the deadline, No</t>
  </si>
  <si>
    <t>No - What positions are open &amp; why? How does this impact your services?</t>
  </si>
  <si>
    <t>Yes, No - What positions are open &amp; why? How does this impact your services?</t>
  </si>
  <si>
    <t xml:space="preserve">Good Health Clinic exists to serve as a healthcare home for the low-income, uninsured living in the Florida Keys community.         </t>
  </si>
  <si>
    <t xml:space="preserve">Unisured adult or child residents of the Florida Keys living below 300% Federal Poverty Level  </t>
  </si>
  <si>
    <t>$120,000</t>
  </si>
  <si>
    <t xml:space="preserve">Service: Diabetic test strips   Unit: 50 strip/box   Fee: $10
Service: Hardcopy of medical records   Unit: per page  Fee: $1 to $20 max     (this fee only applies to optional requests for hard copies of medical records, needed or electronic records are free)  </t>
  </si>
  <si>
    <t xml:space="preserve">6 full-time employees and 2 part-time employees as of 3/12/25, 8 total employees. </t>
  </si>
  <si>
    <t xml:space="preserve">Only the Sheriff's Asset Forfieture Fund.  </t>
  </si>
  <si>
    <t xml:space="preserve">
Most of our patients hear about us from existing patients. We also receive referrals from Mariners and Fishermen's Hospitals, private doctor offices, and the Dept of Health. Local nonprofits serving similar populations, such as  KAIR, FKOC, AH Monroe, and SOS Foundation, also refer patients. Additionally, we’ve created a new position, Engagement Manager, who attends food bank distributions and health-related community events to share information about our services with Keys residents in need of healthcare.
</t>
  </si>
  <si>
    <t xml:space="preserve">
Good Health Clinic provides nearly comprehensive healthcare to our constituents at no cost through access to our two clinics (Marathon and Tavernier), as well as our extensive Volunteer Provider Network throughout the Keys, South Florida, and beyond. Our services include:
Wellness &amp; Family Planning: mammograms, screenings, birth control, etc.
Non-emergency Care: for injuries/illness, pre-op and work clearances.
Chronic Disease Mgt for diabetes, asthma, cholesterol, blood pressure, etc.  
Specialist Access: Referrals to volunteer medical providers for no cost
Advanced Care: Cancer treatments, major surgeriers, ER and hosptial stays
Diagnostics: Full lab services &amp; imaging, and advanced testing
Medication Access: we ensure ALL prescribed medications are accessible.
Mental Health Counseling: in person or via telehealth 
Adult Dental: Services including cleanings, extractions, and exams.
</t>
  </si>
  <si>
    <t xml:space="preserve">An estimated 1000+ hours of program services were contributed by over 100 volunteers last year.  We also have a volunteer board and a volunteer annual fundraising event committee. </t>
  </si>
  <si>
    <t xml:space="preserve">
We created a new, full-time Engagement Manager role to focus on patient outreach and fundraising. Currently, the position is filled part-time and is solely focused on outreach, as we have not yet identified a qualified fundraising candidate. While this does not impact services in the short term, we are concerned with the rising costs of operations and growing patient population that funding may eventually become a constraining factor to delivery of full, effective services. 
</t>
  </si>
  <si>
    <t xml:space="preserve">
GHC plans to provide 700-900 Keys residents with comprehensive healthcare, provide 2500+ free appointments in our clinics, coordinate 300-600 donated specialist services, and distrubute over $1M in medications to our uninsured residents.   
</t>
  </si>
  <si>
    <t xml:space="preserve">
Funding requested for FY26 will partially cover rent for the Marathon and Tavernier clinics, as well as salaries for key personnel: two patient care coordinators (handling medical assistance, phlebotomy, medication programs, patient eligibility applications, and front office tasks like phones and scheduling), the nurse practitioner (providing direct patient care), and the executive director (overseeing the program and managing partnerships for donated services and goods)
</t>
  </si>
  <si>
    <t xml:space="preserve">
As reported in last year's application, the Florida State statutes that govern the income levels GHC may serve was increased from 200% to 300% Federal Poverty Level in April 2024.  Although we are an independent non-profit, we adhere to the state definition of  'medically vulnerable, indigent populations' and provide medical care under Soverign Immunity laws.     
We have also expanded staff and created a Engagement Manager role, as further explained in 1.1.13.  
</t>
  </si>
  <si>
    <t xml:space="preserve">
For FY25, GHC has lost ~ $45k in usual funding from the following sources: 
Individual Support: In previous years, GHC benefited from two 3rd party fundraisers. This year, one fundraiser was not held due to the organizer’s personal family needs, resulting in a loss of $12k. The other fundraiser was held but only raised $3k, compared to $10k in the last two years. The organizer reported that participants, who are generally upper-middle-class, found it too financially tight for contributions this year.
Village of Islamorada: It appears the Islamorada will not be renewing any nonprofit funding this year. Leadership has undergone significant changes, and future funding is uncertain. They previously provided $10k annually.
FAFCC: GHC experienced a 10% ($10k) reduction in funding from this source. Although we scored in the top percent of applicants based on their metrics, the increase in the number of free clinics and the rising demand for medical care access to low-income individuals statewide has stretched their available funding for all applicants.
HSAB: GHC had a $5.6k reduction in funding compared to previous years.
</t>
  </si>
  <si>
    <t xml:space="preserve">
I. Good Health Clinic is a free clinic that has been serving low-income Keys residents for over 20 years.  We are the ONLY charitable medical option that provides COMPREHENSIVE MEDICAL CARE.  We provide all primary care AND access to specialists, advanced diagnostic labs/imaging/studies, a program dedicated to ensuring all needed medications are accessible to our patients, and access to acute care such as cancer treatments and major surgeries for both adult and children.   GHC is a safety net for the most medically and financially vulnerable in our community. 
II. Since 2013, GHC’s board approve Core Values have been: Compassion, Collaboration, Integrity.  Our strongest asset is the ability to leverage an extensive network within and outside Monroe County, allowing us to provide millions in health services at a fraction of the cost. For every $1 in funding, we deliver $10–20 in medical services. Key cost-saving and high-impact service delivery partnerships include:
A Volunteer Provider Network: A network of private medical specialists, hospitals, medical facilities, and nationwide nonprofits that donate medical services and goods to our patients due to the comprehensive care we offer.
Operating MOUs with Womankind, FKAHEC, and AH Monroe: Shared space in Marathon reduces rent costs and formal patient-sharing/referral systems eliminate the need for a GHC office in Key West while streamlining advanced care for Lower Keys patients.
Service Partnerships: Collaborations with FKOC for housing support, MC Transit &amp; Guidance Care Center for transportation, churches/private foundations for financial aid, and the MC Department of Health for vaccines.  We also work with Center for Independent Living who assists with disability applications and Medicare/Medicaid transitions - shifting eligible patients outside of charitable care funding.  And Project Smile which provides dental services, eliminating the need to purchase care from local providers with charitable funding.
These relationships allow GHC to maximize resources, eliminate redundancies, and deliver high-value healthcare efficiently.
</t>
  </si>
  <si>
    <t xml:space="preserve">We are grateful for the support of HSAB.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</si>
</sst>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quot;Questions&quot;"/>
    <numFmt numFmtId="165" formatCode="0\ &quot;pts&quot;"/>
    <numFmt numFmtId="166" formatCode="0.00%\ &quot;Complete&quot;"/>
    <numFmt numFmtId="167" formatCode="&quot;The comment must be left blank for this response&quot;"/>
  </numFmts>
  <fonts count="5" x14ac:knownFonts="1">
    <font>
      <sz val="12"/>
      <color rgb="FF000000"/>
      <name val="Arial"/>
    </font>
    <font>
      <b/>
      <sz val="22"/>
      <color rgb="FF404040"/>
      <name val="Arial"/>
    </font>
    <font>
      <b/>
      <sz val="12"/>
      <color rgb="FFFFFFFF"/>
      <name val="Arial"/>
    </font>
    <font>
      <b/>
      <sz val="14"/>
      <color rgb="FFFFFFFF"/>
      <name val="Arial"/>
    </font>
    <font>
      <sz val="12"/>
      <color rgb="FFFFFFFF"/>
      <name val="Arial"/>
    </font>
  </fonts>
  <fills count="7">
    <fill>
      <patternFill patternType="none"/>
    </fill>
    <fill>
      <patternFill patternType="gray125"/>
    </fill>
    <fill>
      <patternFill patternType="solid">
        <fgColor rgb="FFFFFFFF"/>
        <bgColor rgb="FF000000"/>
      </patternFill>
    </fill>
    <fill>
      <patternFill patternType="solid">
        <fgColor rgb="FFF2F2F2"/>
        <bgColor rgb="FF000000"/>
      </patternFill>
    </fill>
    <fill>
      <patternFill patternType="solid">
        <fgColor rgb="FF5FADCF"/>
        <bgColor rgb="FF000000"/>
      </patternFill>
    </fill>
    <fill>
      <patternFill patternType="solid">
        <fgColor rgb="FF548BA1"/>
        <bgColor rgb="FF000000"/>
      </patternFill>
    </fill>
    <fill>
      <patternFill patternType="solid">
        <fgColor rgb="FF7F7F7F"/>
        <bgColor rgb="FF000000"/>
      </patternFill>
    </fill>
  </fills>
  <borders count="25">
    <border>
      <left/>
      <right/>
      <top/>
      <bottom/>
      <diagonal/>
    </border>
    <border>
      <left style="thin">
        <color rgb="FFBFBFBF"/>
      </left>
      <right style="dotted">
        <color rgb="FFBFBFBF"/>
      </right>
      <top style="thin">
        <color rgb="FFBFBFBF"/>
      </top>
      <bottom style="thin">
        <color rgb="FFBFBFBF"/>
      </bottom>
      <diagonal/>
    </border>
    <border>
      <left style="dotted">
        <color rgb="FFBFBFBF"/>
      </left>
      <right style="dotted">
        <color rgb="FFBFBFBF"/>
      </right>
      <top style="thin">
        <color rgb="FFBFBFBF"/>
      </top>
      <bottom style="thin">
        <color rgb="FFBFBFBF"/>
      </bottom>
      <diagonal/>
    </border>
    <border>
      <left style="dotted">
        <color rgb="FFBFBFBF"/>
      </left>
      <right style="thin">
        <color rgb="FFBFBFBF"/>
      </right>
      <top style="thin">
        <color rgb="FFBFBFBF"/>
      </top>
      <bottom style="thin">
        <color rgb="FFBFBFBF"/>
      </bottom>
      <diagonal/>
    </border>
    <border>
      <left/>
      <right style="dotted">
        <color rgb="FFBFBFBF"/>
      </right>
      <top/>
      <bottom/>
      <diagonal/>
    </border>
    <border>
      <left style="dotted">
        <color rgb="FFBFBFBF"/>
      </left>
      <right style="dotted">
        <color rgb="FFBFBFBF"/>
      </right>
      <top/>
      <bottom/>
      <diagonal/>
    </border>
    <border>
      <left style="dotted">
        <color rgb="FFBFBFBF"/>
      </left>
      <right/>
      <top/>
      <bottom/>
      <diagonal/>
    </border>
    <border>
      <left/>
      <right/>
      <top style="medium">
        <color rgb="FFBFBFBF"/>
      </top>
      <bottom/>
      <diagonal/>
    </border>
    <border>
      <left style="dotted">
        <color rgb="FFBFBFBF"/>
      </left>
      <right/>
      <top style="thin">
        <color rgb="FFBFBFBF"/>
      </top>
      <bottom/>
      <diagonal/>
    </border>
    <border>
      <left style="dotted">
        <color rgb="FFBFBFBF"/>
      </left>
      <right/>
      <top/>
      <bottom/>
      <diagonal/>
    </border>
    <border>
      <left style="dotted">
        <color rgb="FFBFBFBF"/>
      </left>
      <right/>
      <top/>
      <bottom style="thin">
        <color rgb="FFBFBFBF"/>
      </bottom>
      <diagonal/>
    </border>
    <border>
      <left/>
      <right/>
      <top style="thin">
        <color rgb="FFBFBFBF"/>
      </top>
      <bottom/>
      <diagonal/>
    </border>
    <border>
      <left/>
      <right/>
      <top/>
      <bottom style="thin">
        <color rgb="FFBFBFBF"/>
      </bottom>
      <diagonal/>
    </border>
    <border>
      <left/>
      <right style="dotted">
        <color rgb="FFBFBFBF"/>
      </right>
      <top style="thin">
        <color rgb="FFBFBFBF"/>
      </top>
      <bottom/>
      <diagonal/>
    </border>
    <border>
      <left/>
      <right style="dotted">
        <color rgb="FFBFBFBF"/>
      </right>
      <top/>
      <bottom/>
      <diagonal/>
    </border>
    <border>
      <left/>
      <right style="dotted">
        <color rgb="FFBFBFBF"/>
      </right>
      <top/>
      <bottom style="thin">
        <color rgb="FFBFBFBF"/>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dotted">
        <color rgb="FFBFBFBF"/>
      </right>
      <top style="medium">
        <color rgb="FFBFBFBF"/>
      </top>
      <bottom style="thin">
        <color rgb="FFBFBFBF"/>
      </bottom>
      <diagonal/>
    </border>
    <border>
      <left style="dotted">
        <color rgb="FFBFBFBF"/>
      </left>
      <right style="dotted">
        <color rgb="FFBFBFBF"/>
      </right>
      <top style="medium">
        <color rgb="FFBFBFBF"/>
      </top>
      <bottom style="thin">
        <color rgb="FFBFBFBF"/>
      </bottom>
      <diagonal/>
    </border>
    <border>
      <left style="dotted">
        <color rgb="FFBFBFBF"/>
      </left>
      <right/>
      <top style="medium">
        <color rgb="FFBFBFBF"/>
      </top>
      <bottom/>
      <diagonal/>
    </border>
    <border>
      <left/>
      <right/>
      <top style="medium">
        <color rgb="FFBFBFBF"/>
      </top>
      <bottom/>
      <diagonal/>
    </border>
    <border>
      <left/>
      <right style="dotted">
        <color rgb="FFBFBFBF"/>
      </right>
      <top style="medium">
        <color rgb="FFBFBFBF"/>
      </top>
      <bottom/>
      <diagonal/>
    </border>
    <border>
      <left style="dotted">
        <color rgb="FFBFBFBF"/>
      </left>
      <right style="thin">
        <color rgb="FFBFBFBF"/>
      </right>
      <top style="medium">
        <color rgb="FFBFBFBF"/>
      </top>
      <bottom style="thin">
        <color rgb="FFBFBFBF"/>
      </bottom>
      <diagonal/>
    </border>
  </borders>
  <cellStyleXfs count="1">
    <xf numFmtId="0" fontId="0" fillId="0" borderId="0"/>
  </cellStyleXfs>
  <cellXfs count="58">
    <xf numFmtId="0" fontId="0" fillId="2" borderId="0" xfId="0" applyFill="1" applyProtection="1">
      <protection locked="0"/>
    </xf>
    <xf numFmtId="0" fontId="0" fillId="2" borderId="0" xfId="0" applyFill="1"/>
    <xf numFmtId="0" fontId="1" fillId="2" borderId="0" xfId="0" applyFont="1" applyFill="1" applyAlignment="1">
      <alignment horizontal="left"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2" fillId="4" borderId="0" xfId="0" applyFont="1" applyFill="1" applyAlignment="1">
      <alignment horizontal="center" vertical="center" wrapText="1"/>
    </xf>
    <xf numFmtId="0" fontId="2" fillId="5" borderId="0" xfId="0" applyFont="1" applyFill="1" applyAlignment="1">
      <alignment horizontal="center" vertical="center" wrapText="1"/>
    </xf>
    <xf numFmtId="49" fontId="0" fillId="3" borderId="2" xfId="0" applyNumberFormat="1" applyFill="1" applyBorder="1" applyAlignment="1" applyProtection="1">
      <alignment horizontal="center" vertical="center" wrapText="1"/>
      <protection locked="0"/>
    </xf>
    <xf numFmtId="49" fontId="0" fillId="3" borderId="3" xfId="0" applyNumberFormat="1" applyFill="1" applyBorder="1" applyAlignment="1" applyProtection="1">
      <alignment horizontal="left" vertical="center" wrapText="1" indent="1"/>
      <protection locked="0"/>
    </xf>
    <xf numFmtId="0" fontId="3" fillId="6" borderId="4" xfId="0" applyFont="1" applyFill="1" applyBorder="1" applyAlignment="1" applyProtection="1">
      <alignment horizontal="left" vertical="center" indent="1"/>
      <protection locked="0"/>
    </xf>
    <xf numFmtId="0" fontId="3" fillId="6" borderId="6" xfId="0" applyFont="1" applyFill="1" applyBorder="1" applyAlignment="1" applyProtection="1">
      <alignment horizontal="left" vertical="center" wrapText="1" indent="1"/>
      <protection locked="0"/>
    </xf>
    <xf numFmtId="0" fontId="3" fillId="4" borderId="7" xfId="0" applyFont="1" applyFill="1" applyBorder="1" applyAlignment="1">
      <alignment horizontal="center" vertical="center"/>
    </xf>
    <xf numFmtId="165" fontId="3" fillId="4" borderId="7" xfId="0" applyNumberFormat="1" applyFont="1" applyFill="1" applyBorder="1" applyAlignment="1">
      <alignment horizontal="center" vertical="center"/>
    </xf>
    <xf numFmtId="0" fontId="0" fillId="3" borderId="2" xfId="0" applyFill="1" applyBorder="1" applyAlignment="1">
      <alignment horizontal="left" vertical="center" wrapText="1" indent="1"/>
    </xf>
    <xf numFmtId="167" fontId="0" fillId="2" borderId="0" xfId="0" applyNumberFormat="1" applyFill="1" applyAlignment="1">
      <alignment vertical="center" wrapText="1" indent="1" shrinkToFit="1"/>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49" fontId="0" fillId="2" borderId="0" xfId="0" applyNumberFormat="1" applyFill="1"/>
    <xf numFmtId="0" fontId="3" fillId="4" borderId="21" xfId="0" applyFont="1" applyFill="1" applyBorder="1" applyAlignment="1">
      <alignment horizontal="center" vertical="center"/>
    </xf>
    <xf numFmtId="0" fontId="3" fillId="4" borderId="22" xfId="0" applyFont="1" applyFill="1" applyBorder="1" applyAlignment="1">
      <alignment horizontal="center" vertical="center"/>
    </xf>
    <xf numFmtId="0" fontId="3" fillId="4" borderId="23"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15" xfId="0" applyFont="1" applyFill="1" applyBorder="1" applyAlignment="1">
      <alignment horizontal="center" vertical="center"/>
    </xf>
    <xf numFmtId="0" fontId="1" fillId="2" borderId="0" xfId="0" applyFont="1" applyFill="1" applyAlignment="1">
      <alignment horizontal="left" vertical="center" wrapText="1"/>
    </xf>
    <xf numFmtId="0" fontId="0" fillId="2" borderId="0" xfId="0" applyFill="1" applyProtection="1">
      <protection locked="0"/>
    </xf>
    <xf numFmtId="0" fontId="0" fillId="3" borderId="0" xfId="0" applyFill="1" applyAlignment="1">
      <alignment vertical="center" wrapText="1"/>
    </xf>
    <xf numFmtId="0" fontId="0" fillId="2" borderId="0" xfId="0" applyFill="1" applyAlignment="1">
      <alignment vertical="top" wrapText="1"/>
    </xf>
    <xf numFmtId="0" fontId="2" fillId="4" borderId="0" xfId="0" applyFont="1" applyFill="1" applyAlignment="1">
      <alignment horizontal="center" vertical="center" wrapText="1"/>
    </xf>
    <xf numFmtId="0" fontId="3" fillId="4" borderId="19"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20"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24" xfId="0" applyFont="1" applyFill="1" applyBorder="1" applyAlignment="1">
      <alignment horizontal="center" vertical="center"/>
    </xf>
    <xf numFmtId="0" fontId="3" fillId="4" borderId="3" xfId="0" applyFont="1"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3" fillId="6" borderId="4" xfId="0" applyFont="1" applyFill="1" applyBorder="1" applyAlignment="1">
      <alignment horizontal="left" vertical="center" wrapText="1" indent="1"/>
    </xf>
    <xf numFmtId="0" fontId="3" fillId="6" borderId="5" xfId="0" applyFont="1" applyFill="1" applyBorder="1" applyAlignment="1">
      <alignment horizontal="left" vertical="center" wrapText="1" indent="1"/>
    </xf>
    <xf numFmtId="0" fontId="3" fillId="6" borderId="6" xfId="0" applyFont="1" applyFill="1" applyBorder="1" applyAlignment="1">
      <alignment horizontal="left" vertical="center" wrapText="1" indent="1"/>
    </xf>
    <xf numFmtId="164" fontId="3" fillId="4" borderId="7" xfId="0" applyNumberFormat="1" applyFont="1" applyFill="1" applyBorder="1" applyAlignment="1">
      <alignment horizontal="center" vertical="center"/>
    </xf>
    <xf numFmtId="0" fontId="3" fillId="4" borderId="7" xfId="0" applyFont="1" applyFill="1" applyBorder="1" applyAlignment="1">
      <alignment horizontal="center" vertical="center"/>
    </xf>
    <xf numFmtId="166" fontId="3" fillId="4" borderId="7" xfId="0" applyNumberFormat="1" applyFont="1" applyFill="1" applyBorder="1" applyAlignment="1">
      <alignment horizontal="center" vertical="center"/>
    </xf>
  </cellXfs>
  <cellStyles count="1">
    <cellStyle name="Normal" xfId="0" builtinId="0"/>
  </cellStyles>
  <dxfs count="20">
    <dxf>
      <font>
        <b/>
        <color rgb="FF9C0006"/>
      </font>
      <fill>
        <patternFill patternType="solid">
          <fgColor rgb="FFF7C6CE"/>
          <bgColor rgb="FFF7C6CE"/>
        </patternFill>
      </fill>
    </dxf>
    <dxf>
      <font>
        <color rgb="FFF7C6CE"/>
      </font>
      <fill>
        <patternFill patternType="solid">
          <fgColor rgb="FFF7C6CE"/>
          <bgColor rgb="FFF7C6CE"/>
        </patternFill>
      </fill>
    </dxf>
    <dxf>
      <font>
        <color rgb="FFC5EFCE"/>
      </font>
      <fill>
        <patternFill patternType="solid">
          <fgColor rgb="FFC5EFCE"/>
          <bgColor rgb="FFC5EFCE"/>
        </patternFill>
      </fill>
    </dxf>
    <dxf>
      <font>
        <b val="0"/>
        <color rgb="FF404040"/>
      </font>
      <fill>
        <patternFill patternType="solid">
          <fgColor rgb="FFC5EFCE"/>
          <bgColor rgb="FFC5EFCE"/>
        </patternFill>
      </fill>
      <alignment horizontal="left" vertical="center"/>
    </dxf>
    <dxf>
      <font>
        <b/>
        <color rgb="FF006100"/>
      </font>
      <fill>
        <patternFill patternType="solid">
          <fgColor rgb="FFC5EFCE"/>
          <bgColor rgb="FFC5EFCE"/>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ill>
        <patternFill patternType="solid">
          <fgColor rgb="FFFFFFFF"/>
          <bgColor rgb="FFFFFFFF"/>
        </patternFill>
      </fill>
    </dxf>
    <dxf>
      <font>
        <b/>
        <color rgb="FF9C0006"/>
      </font>
      <fill>
        <patternFill patternType="solid">
          <fgColor rgb="FFF7C6CE"/>
          <bgColor rgb="FFF7C6CE"/>
        </patternFill>
      </fill>
    </dxf>
    <dxf>
      <font>
        <b/>
        <color rgb="FF006100"/>
      </font>
      <fill>
        <patternFill patternType="solid">
          <fgColor rgb="FFC5EFCE"/>
          <bgColor rgb="FFC5EFCE"/>
        </patternFill>
      </fill>
    </dxf>
    <dxf>
      <numFmt numFmtId="14" formatCode="0.00%"/>
    </dxf>
    <dxf>
      <font>
        <color rgb="FFFFFFFF"/>
      </font>
      <fill>
        <patternFill patternType="solid">
          <fgColor rgb="FFFFFFFF"/>
          <bgColor rgb="FFFFFFFF"/>
        </patternFill>
      </fill>
    </dxf>
    <dxf>
      <font>
        <b/>
        <color rgb="FFC5EFCE"/>
      </font>
      <fill>
        <patternFill patternType="solid">
          <fgColor rgb="FFC5EFCE"/>
          <bgColor rgb="FFC5EFCE"/>
        </patternFill>
      </fill>
    </dxf>
    <dxf>
      <font>
        <color rgb="FFFFFFFF"/>
      </font>
      <fill>
        <patternFill patternType="solid">
          <fgColor rgb="FFFFFFFF"/>
          <bgColor rgb="FFFFFFFF"/>
        </patternFill>
      </fill>
    </dxf>
    <dxf>
      <font>
        <b/>
        <color rgb="FFC5EFCE"/>
      </font>
      <fill>
        <patternFill patternType="solid">
          <fgColor rgb="FFC5EFCE"/>
          <bgColor rgb="FFC5EF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2695575" cy="733425"/>
    <xdr:pic>
      <xdr:nvPicPr>
        <xdr:cNvPr id="2" name="Monroe County, FL_Logo" descr="Monroe County, FL">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8:ZZ702"/>
  <sheetViews>
    <sheetView showRowColHeaders="0" workbookViewId="0">
      <selection activeCell="B16" sqref="B16:E16"/>
    </sheetView>
  </sheetViews>
  <sheetFormatPr defaultRowHeight="15" x14ac:dyDescent="0.25"/>
  <cols>
    <col min="2" max="5" width="25" customWidth="1"/>
    <col min="702" max="702" width="9.08984375" hidden="1"/>
  </cols>
  <sheetData>
    <row r="8" spans="2:5" ht="31.95" customHeight="1" x14ac:dyDescent="0.25">
      <c r="B8" s="38" t="s">
        <v>1</v>
      </c>
      <c r="C8" s="39"/>
      <c r="D8" s="39"/>
      <c r="E8" s="39"/>
    </row>
    <row r="10" spans="2:5" ht="28.2" x14ac:dyDescent="0.25">
      <c r="B10" s="2" t="s">
        <v>2</v>
      </c>
    </row>
    <row r="12" spans="2:5" ht="409.6" customHeight="1" x14ac:dyDescent="0.25">
      <c r="B12" s="40" t="s">
        <v>3</v>
      </c>
      <c r="C12" s="40"/>
      <c r="D12" s="40"/>
      <c r="E12" s="40"/>
    </row>
    <row r="14" spans="2:5" ht="28.2" x14ac:dyDescent="0.25">
      <c r="B14" s="2" t="s">
        <v>4</v>
      </c>
    </row>
    <row r="16" spans="2:5" ht="16.05" customHeight="1" x14ac:dyDescent="0.25">
      <c r="B16" s="41" t="s">
        <v>5</v>
      </c>
      <c r="C16" s="39"/>
      <c r="D16" s="39"/>
      <c r="E16" s="39"/>
    </row>
    <row r="702" spans="702:702" x14ac:dyDescent="0.25">
      <c r="ZZ702" s="1" t="s">
        <v>0</v>
      </c>
    </row>
  </sheetData>
  <sheetProtection password="E36C" sheet="1" objects="1" scenarios="1" insertHyperlinks="0"/>
  <mergeCells count="3">
    <mergeCell ref="B8:E8"/>
    <mergeCell ref="B12:E12"/>
    <mergeCell ref="B16:E1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F16"/>
  <sheetViews>
    <sheetView showRowColHeaders="0" workbookViewId="0">
      <pane ySplit="10" topLeftCell="A11" activePane="bottomLeft" state="frozen"/>
      <selection pane="bottomLeft" activeCell="E24" sqref="E24"/>
    </sheetView>
  </sheetViews>
  <sheetFormatPr defaultRowHeight="15" x14ac:dyDescent="0.25"/>
  <cols>
    <col min="2" max="3" width="20" customWidth="1"/>
    <col min="4" max="4" width="9.08984375" hidden="1"/>
    <col min="5" max="5" width="20" customWidth="1"/>
    <col min="6" max="6" width="2" customWidth="1"/>
    <col min="7" max="56" width="1" customWidth="1"/>
    <col min="57" max="57" width="2" customWidth="1"/>
    <col min="58" max="58" width="20" customWidth="1"/>
  </cols>
  <sheetData>
    <row r="2" spans="2:58" hidden="1" x14ac:dyDescent="0.25"/>
    <row r="3" spans="2:58" hidden="1" x14ac:dyDescent="0.25"/>
    <row r="4" spans="2:58" hidden="1" x14ac:dyDescent="0.25"/>
    <row r="5" spans="2:58" hidden="1" x14ac:dyDescent="0.25"/>
    <row r="6" spans="2:58" hidden="1" x14ac:dyDescent="0.25"/>
    <row r="7" spans="2:58" hidden="1" x14ac:dyDescent="0.25"/>
    <row r="8" spans="2:58" ht="28.2" x14ac:dyDescent="0.25">
      <c r="B8" s="2" t="s">
        <v>7</v>
      </c>
    </row>
    <row r="10" spans="2:58" ht="31.95" customHeight="1" x14ac:dyDescent="0.25">
      <c r="B10" s="5" t="s">
        <v>8</v>
      </c>
      <c r="C10" s="5" t="s">
        <v>9</v>
      </c>
      <c r="D10" s="5" t="s">
        <v>10</v>
      </c>
      <c r="E10" s="5" t="s">
        <v>11</v>
      </c>
      <c r="F10" s="42" t="s">
        <v>12</v>
      </c>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5" t="s">
        <v>13</v>
      </c>
    </row>
    <row r="11" spans="2:58" x14ac:dyDescent="0.25">
      <c r="B11" s="49">
        <v>1</v>
      </c>
      <c r="C11" s="50">
        <f>'1'!C33</f>
        <v>19</v>
      </c>
      <c r="D11" s="50"/>
      <c r="E11" s="50">
        <f ca="1">'1'!F33</f>
        <v>1</v>
      </c>
      <c r="F11" s="15"/>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20"/>
      <c r="BF11" s="51" t="str">
        <f ca="1">IF(E11= 1, "Complete: no errors",IF(COUNTIF(INDIRECT("'"&amp;B11:B13&amp;"'!H11:H12"),"*"&amp;"response"&amp;"*"),"Errors present","No errors"))</f>
        <v>Complete: no errors</v>
      </c>
    </row>
    <row r="12" spans="2:58" x14ac:dyDescent="0.25">
      <c r="B12" s="49"/>
      <c r="C12" s="50"/>
      <c r="D12" s="50"/>
      <c r="E12" s="50"/>
      <c r="F12" s="16"/>
      <c r="G12" s="23" t="b">
        <f ca="1">E11 &gt;= 0.02</f>
        <v>1</v>
      </c>
      <c r="H12" s="24" t="b">
        <f ca="1">E11 &gt;= 0.04</f>
        <v>1</v>
      </c>
      <c r="I12" s="24" t="b">
        <f ca="1">E11 &gt;= 0.06</f>
        <v>1</v>
      </c>
      <c r="J12" s="24" t="b">
        <f ca="1">E11 &gt;= 0.08</f>
        <v>1</v>
      </c>
      <c r="K12" s="24" t="b">
        <f ca="1">E11 &gt;= 0.1</f>
        <v>1</v>
      </c>
      <c r="L12" s="24" t="b">
        <f ca="1">E11 &gt;= 0.12</f>
        <v>1</v>
      </c>
      <c r="M12" s="24" t="b">
        <f ca="1">E11 &gt;= 0.14</f>
        <v>1</v>
      </c>
      <c r="N12" s="24" t="b">
        <f ca="1">E11 &gt;= 0.16</f>
        <v>1</v>
      </c>
      <c r="O12" s="24" t="b">
        <f ca="1">E11 &gt;= 0.18</f>
        <v>1</v>
      </c>
      <c r="P12" s="24" t="b">
        <f ca="1">E11 &gt;= 0.2</f>
        <v>1</v>
      </c>
      <c r="Q12" s="24" t="b">
        <f ca="1">E11 &gt;= 0.22</f>
        <v>1</v>
      </c>
      <c r="R12" s="24" t="b">
        <f ca="1">E11 &gt;= 0.24</f>
        <v>1</v>
      </c>
      <c r="S12" s="24" t="b">
        <f ca="1">E11 &gt;= 0.26</f>
        <v>1</v>
      </c>
      <c r="T12" s="24" t="b">
        <f ca="1">E11 &gt;= 0.28</f>
        <v>1</v>
      </c>
      <c r="U12" s="24" t="b">
        <f ca="1">E11 &gt;= 0.3</f>
        <v>1</v>
      </c>
      <c r="V12" s="24" t="b">
        <f ca="1">E11 &gt;= 0.32</f>
        <v>1</v>
      </c>
      <c r="W12" s="24" t="b">
        <f ca="1">E11 &gt;= 0.34</f>
        <v>1</v>
      </c>
      <c r="X12" s="24" t="b">
        <f ca="1">E11 &gt;= 0.36</f>
        <v>1</v>
      </c>
      <c r="Y12" s="24" t="b">
        <f ca="1">E11 &gt;= 0.38</f>
        <v>1</v>
      </c>
      <c r="Z12" s="24" t="b">
        <f ca="1">E11 &gt;= 0.4</f>
        <v>1</v>
      </c>
      <c r="AA12" s="24" t="b">
        <f ca="1">E11 &gt;= 0.42</f>
        <v>1</v>
      </c>
      <c r="AB12" s="24" t="b">
        <f ca="1">E11 &gt;= 0.44</f>
        <v>1</v>
      </c>
      <c r="AC12" s="24" t="b">
        <f ca="1">E11 &gt;= 0.46</f>
        <v>1</v>
      </c>
      <c r="AD12" s="24" t="b">
        <f ca="1">E11 &gt;= 0.48</f>
        <v>1</v>
      </c>
      <c r="AE12" s="24" t="b">
        <f ca="1">E11 &gt;= 0.5</f>
        <v>1</v>
      </c>
      <c r="AF12" s="24" t="b">
        <f ca="1">E11 &gt;= 0.52</f>
        <v>1</v>
      </c>
      <c r="AG12" s="24" t="b">
        <f ca="1">E11 &gt;= 0.54</f>
        <v>1</v>
      </c>
      <c r="AH12" s="24" t="b">
        <f ca="1">E11 &gt;= 0.56</f>
        <v>1</v>
      </c>
      <c r="AI12" s="24" t="b">
        <f ca="1">E11 &gt;= 0.58</f>
        <v>1</v>
      </c>
      <c r="AJ12" s="24" t="b">
        <f ca="1">E11 &gt;= 0.6</f>
        <v>1</v>
      </c>
      <c r="AK12" s="24" t="b">
        <f ca="1">E11 &gt;= 0.62</f>
        <v>1</v>
      </c>
      <c r="AL12" s="24" t="b">
        <f ca="1">E11 &gt;= 0.64</f>
        <v>1</v>
      </c>
      <c r="AM12" s="24" t="b">
        <f ca="1">E11 &gt;= 0.66</f>
        <v>1</v>
      </c>
      <c r="AN12" s="24" t="b">
        <f ca="1">E11 &gt;= 0.68</f>
        <v>1</v>
      </c>
      <c r="AO12" s="24" t="b">
        <f ca="1">E11 &gt;= 0.7</f>
        <v>1</v>
      </c>
      <c r="AP12" s="24" t="b">
        <f ca="1">E11 &gt;= 0.72</f>
        <v>1</v>
      </c>
      <c r="AQ12" s="24" t="b">
        <f ca="1">E11 &gt;= 0.74</f>
        <v>1</v>
      </c>
      <c r="AR12" s="24" t="b">
        <f ca="1">E11 &gt;= 0.76</f>
        <v>1</v>
      </c>
      <c r="AS12" s="24" t="b">
        <f ca="1">E11 &gt;= 0.78</f>
        <v>1</v>
      </c>
      <c r="AT12" s="24" t="b">
        <f ca="1">E11 &gt;= 0.8</f>
        <v>1</v>
      </c>
      <c r="AU12" s="24" t="b">
        <f ca="1">E11 &gt;= 0.82</f>
        <v>1</v>
      </c>
      <c r="AV12" s="24" t="b">
        <f ca="1">E11 &gt;= 0.84</f>
        <v>1</v>
      </c>
      <c r="AW12" s="24" t="b">
        <f ca="1">E11 &gt;= 0.86</f>
        <v>1</v>
      </c>
      <c r="AX12" s="24" t="b">
        <f ca="1">E11 &gt;= 0.88</f>
        <v>1</v>
      </c>
      <c r="AY12" s="24" t="b">
        <f ca="1">E11 &gt;= 0.9</f>
        <v>1</v>
      </c>
      <c r="AZ12" s="24" t="b">
        <f ca="1">E11 &gt;= 0.92</f>
        <v>1</v>
      </c>
      <c r="BA12" s="24" t="b">
        <f ca="1">E11 &gt;= 0.94</f>
        <v>1</v>
      </c>
      <c r="BB12" s="24" t="b">
        <f ca="1">E11 &gt;= 0.96</f>
        <v>1</v>
      </c>
      <c r="BC12" s="24" t="b">
        <f ca="1">E11 &gt;= 0.98</f>
        <v>1</v>
      </c>
      <c r="BD12" s="25" t="b">
        <f ca="1">E11 &gt;= 1</f>
        <v>1</v>
      </c>
      <c r="BE12" s="21"/>
      <c r="BF12" s="51"/>
    </row>
    <row r="13" spans="2:58" x14ac:dyDescent="0.25">
      <c r="B13" s="49"/>
      <c r="C13" s="50"/>
      <c r="D13" s="50"/>
      <c r="E13" s="50"/>
      <c r="F13" s="17"/>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22"/>
      <c r="BF13" s="51"/>
    </row>
    <row r="14" spans="2:58" ht="17.399999999999999" x14ac:dyDescent="0.25">
      <c r="B14" s="43" t="s">
        <v>6</v>
      </c>
      <c r="C14" s="45">
        <f>SUM(C11:C13)</f>
        <v>19</v>
      </c>
      <c r="D14" s="45"/>
      <c r="E14" s="45">
        <f ca="1">IF($C$14=0,1,SUMPRODUCT(C11:C13, E11:E13) / $C$14)</f>
        <v>1</v>
      </c>
      <c r="F14" s="27"/>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9"/>
      <c r="BF14" s="47"/>
    </row>
    <row r="15" spans="2:58" ht="17.399999999999999" x14ac:dyDescent="0.25">
      <c r="B15" s="44"/>
      <c r="C15" s="46"/>
      <c r="D15" s="46"/>
      <c r="E15" s="46"/>
      <c r="F15" s="30"/>
      <c r="G15" s="31" t="b">
        <f ca="1">E14 &gt;= 0.02</f>
        <v>1</v>
      </c>
      <c r="H15" s="32" t="b">
        <f ca="1">E14 &gt;= 0.04</f>
        <v>1</v>
      </c>
      <c r="I15" s="32" t="b">
        <f ca="1">E14 &gt;= 0.06</f>
        <v>1</v>
      </c>
      <c r="J15" s="32" t="b">
        <f ca="1">E14 &gt;= 0.08</f>
        <v>1</v>
      </c>
      <c r="K15" s="32" t="b">
        <f ca="1">E14 &gt;= 0.1</f>
        <v>1</v>
      </c>
      <c r="L15" s="32" t="b">
        <f ca="1">E14 &gt;= 0.12</f>
        <v>1</v>
      </c>
      <c r="M15" s="32" t="b">
        <f ca="1">E14 &gt;= 0.14</f>
        <v>1</v>
      </c>
      <c r="N15" s="32" t="b">
        <f ca="1">E14 &gt;= 0.16</f>
        <v>1</v>
      </c>
      <c r="O15" s="32" t="b">
        <f ca="1">E14 &gt;= 0.18</f>
        <v>1</v>
      </c>
      <c r="P15" s="32" t="b">
        <f ca="1">E14 &gt;= 0.2</f>
        <v>1</v>
      </c>
      <c r="Q15" s="32" t="b">
        <f ca="1">E14 &gt;= 0.22</f>
        <v>1</v>
      </c>
      <c r="R15" s="32" t="b">
        <f ca="1">E14 &gt;= 0.24</f>
        <v>1</v>
      </c>
      <c r="S15" s="32" t="b">
        <f ca="1">E14 &gt;= 0.26</f>
        <v>1</v>
      </c>
      <c r="T15" s="32" t="b">
        <f ca="1">E14 &gt;= 0.28</f>
        <v>1</v>
      </c>
      <c r="U15" s="32" t="b">
        <f ca="1">E14 &gt;= 0.3</f>
        <v>1</v>
      </c>
      <c r="V15" s="32" t="b">
        <f ca="1">E14 &gt;= 0.32</f>
        <v>1</v>
      </c>
      <c r="W15" s="32" t="b">
        <f ca="1">E14 &gt;= 0.34</f>
        <v>1</v>
      </c>
      <c r="X15" s="32" t="b">
        <f ca="1">E14 &gt;= 0.36</f>
        <v>1</v>
      </c>
      <c r="Y15" s="32" t="b">
        <f ca="1">E14 &gt;= 0.38</f>
        <v>1</v>
      </c>
      <c r="Z15" s="32" t="b">
        <f ca="1">E14 &gt;= 0.4</f>
        <v>1</v>
      </c>
      <c r="AA15" s="32" t="b">
        <f ca="1">E14 &gt;= 0.42</f>
        <v>1</v>
      </c>
      <c r="AB15" s="32" t="b">
        <f ca="1">E14 &gt;= 0.44</f>
        <v>1</v>
      </c>
      <c r="AC15" s="32" t="b">
        <f ca="1">E14 &gt;= 0.46</f>
        <v>1</v>
      </c>
      <c r="AD15" s="32" t="b">
        <f ca="1">E14 &gt;= 0.48</f>
        <v>1</v>
      </c>
      <c r="AE15" s="32" t="b">
        <f ca="1">E14 &gt;= 0.5</f>
        <v>1</v>
      </c>
      <c r="AF15" s="32" t="b">
        <f ca="1">E14 &gt;= 0.52</f>
        <v>1</v>
      </c>
      <c r="AG15" s="32" t="b">
        <f ca="1">E14 &gt;= 0.54</f>
        <v>1</v>
      </c>
      <c r="AH15" s="32" t="b">
        <f ca="1">E14 &gt;= 0.56</f>
        <v>1</v>
      </c>
      <c r="AI15" s="32" t="b">
        <f ca="1">E14 &gt;= 0.58</f>
        <v>1</v>
      </c>
      <c r="AJ15" s="32" t="b">
        <f ca="1">E14 &gt;= 0.6</f>
        <v>1</v>
      </c>
      <c r="AK15" s="32" t="b">
        <f ca="1">E14 &gt;= 0.62</f>
        <v>1</v>
      </c>
      <c r="AL15" s="32" t="b">
        <f ca="1">E14 &gt;= 0.64</f>
        <v>1</v>
      </c>
      <c r="AM15" s="32" t="b">
        <f ca="1">E14 &gt;= 0.66</f>
        <v>1</v>
      </c>
      <c r="AN15" s="32" t="b">
        <f ca="1">E14 &gt;= 0.68</f>
        <v>1</v>
      </c>
      <c r="AO15" s="32" t="b">
        <f ca="1">E14 &gt;= 0.7</f>
        <v>1</v>
      </c>
      <c r="AP15" s="32" t="b">
        <f ca="1">E14 &gt;= 0.72</f>
        <v>1</v>
      </c>
      <c r="AQ15" s="32" t="b">
        <f ca="1">E14 &gt;= 0.74</f>
        <v>1</v>
      </c>
      <c r="AR15" s="32" t="b">
        <f ca="1">E14 &gt;= 0.76</f>
        <v>1</v>
      </c>
      <c r="AS15" s="32" t="b">
        <f ca="1">E14 &gt;= 0.78</f>
        <v>1</v>
      </c>
      <c r="AT15" s="32" t="b">
        <f ca="1">E14 &gt;= 0.8</f>
        <v>1</v>
      </c>
      <c r="AU15" s="32" t="b">
        <f ca="1">E14 &gt;= 0.82</f>
        <v>1</v>
      </c>
      <c r="AV15" s="32" t="b">
        <f ca="1">E14 &gt;= 0.84</f>
        <v>1</v>
      </c>
      <c r="AW15" s="32" t="b">
        <f ca="1">E14 &gt;= 0.86</f>
        <v>1</v>
      </c>
      <c r="AX15" s="32" t="b">
        <f ca="1">E14 &gt;= 0.88</f>
        <v>1</v>
      </c>
      <c r="AY15" s="32" t="b">
        <f ca="1">E14 &gt;= 0.9</f>
        <v>1</v>
      </c>
      <c r="AZ15" s="32" t="b">
        <f ca="1">E14 &gt;= 0.92</f>
        <v>1</v>
      </c>
      <c r="BA15" s="32" t="b">
        <f ca="1">E14 &gt;= 0.94</f>
        <v>1</v>
      </c>
      <c r="BB15" s="32" t="b">
        <f ca="1">E14 &gt;= 0.96</f>
        <v>1</v>
      </c>
      <c r="BC15" s="32" t="b">
        <f ca="1">E14 &gt;= 0.98</f>
        <v>1</v>
      </c>
      <c r="BD15" s="33" t="b">
        <f ca="1">E14 &gt;= 1</f>
        <v>1</v>
      </c>
      <c r="BE15" s="34"/>
      <c r="BF15" s="48"/>
    </row>
    <row r="16" spans="2:58" ht="17.399999999999999" x14ac:dyDescent="0.25">
      <c r="B16" s="44"/>
      <c r="C16" s="46"/>
      <c r="D16" s="46"/>
      <c r="E16" s="46"/>
      <c r="F16" s="35"/>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7"/>
      <c r="BF16" s="48"/>
    </row>
  </sheetData>
  <sheetProtection password="E36C" sheet="1" objects="1" scenarios="1" insertHyperlinks="0"/>
  <mergeCells count="11">
    <mergeCell ref="BF14:BF16"/>
    <mergeCell ref="B11:B13"/>
    <mergeCell ref="C11:C13"/>
    <mergeCell ref="D11:D13"/>
    <mergeCell ref="E11:E13"/>
    <mergeCell ref="BF11:BF13"/>
    <mergeCell ref="F10:BE10"/>
    <mergeCell ref="B14:B16"/>
    <mergeCell ref="C14:C16"/>
    <mergeCell ref="D14:D16"/>
    <mergeCell ref="E14:E16"/>
  </mergeCells>
  <conditionalFormatting sqref="G12:BD12">
    <cfRule type="expression" dxfId="19" priority="1">
      <formula>G$12</formula>
    </cfRule>
    <cfRule type="expression" dxfId="18" priority="2">
      <formula>NOT(G$12)</formula>
    </cfRule>
  </conditionalFormatting>
  <conditionalFormatting sqref="G15:BD15">
    <cfRule type="expression" dxfId="17" priority="3">
      <formula>G$15</formula>
    </cfRule>
    <cfRule type="expression" dxfId="16" priority="4">
      <formula>NOT(G$15)</formula>
    </cfRule>
  </conditionalFormatting>
  <conditionalFormatting sqref="E11:E16">
    <cfRule type="expression" dxfId="15" priority="5">
      <formula>TRUE</formula>
    </cfRule>
  </conditionalFormatting>
  <conditionalFormatting sqref="BF11:BF13">
    <cfRule type="expression" dxfId="14" priority="6">
      <formula>$BF11 ="Complete: no errors"</formula>
    </cfRule>
    <cfRule type="expression" dxfId="13" priority="7">
      <formula>$BF11 = "Errors present"</formula>
    </cfRule>
  </conditionalFormatting>
  <conditionalFormatting sqref="B11:BF13">
    <cfRule type="expression" dxfId="12" priority="8">
      <formula>OR(IF(ISNUMBER($B11),MOD($B11,2)=1,FALSE),IF(ISNUMBER($B10),MOD($B10,2)=1,FALSE),IF(ISNUMBER($B9),MOD($B9,2)=1,FALSE))</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I33"/>
  <sheetViews>
    <sheetView showRowColHeaders="0" tabSelected="1" zoomScale="75" zoomScaleNormal="75" workbookViewId="0">
      <pane ySplit="10" topLeftCell="A26" activePane="bottomLeft" state="frozen"/>
      <selection pane="bottomLeft" activeCell="K32" sqref="K32"/>
    </sheetView>
  </sheetViews>
  <sheetFormatPr defaultRowHeight="15" x14ac:dyDescent="0.25"/>
  <cols>
    <col min="2" max="2" width="9.08984375" hidden="1"/>
    <col min="3" max="3" width="10" customWidth="1"/>
    <col min="4" max="4" width="66" customWidth="1"/>
    <col min="5" max="5" width="9.08984375" hidden="1"/>
    <col min="6" max="6" width="25" customWidth="1"/>
    <col min="7" max="7" width="66" customWidth="1"/>
    <col min="8" max="8" width="40" customWidth="1"/>
    <col min="9" max="9" width="9.08984375" hidden="1"/>
  </cols>
  <sheetData>
    <row r="2" spans="2:9" ht="28.2" x14ac:dyDescent="0.25">
      <c r="C2" s="2" t="s">
        <v>14</v>
      </c>
    </row>
    <row r="3" spans="2:9" hidden="1" x14ac:dyDescent="0.25"/>
    <row r="4" spans="2:9" hidden="1" x14ac:dyDescent="0.25"/>
    <row r="5" spans="2:9" hidden="1" x14ac:dyDescent="0.25"/>
    <row r="6" spans="2:9" hidden="1" x14ac:dyDescent="0.25"/>
    <row r="7" spans="2:9" hidden="1" x14ac:dyDescent="0.25"/>
    <row r="8" spans="2:9" hidden="1" x14ac:dyDescent="0.25"/>
    <row r="10" spans="2:9" ht="31.95" customHeight="1" x14ac:dyDescent="0.25">
      <c r="C10" s="5" t="s">
        <v>15</v>
      </c>
      <c r="D10" s="5" t="s">
        <v>16</v>
      </c>
      <c r="E10" s="5" t="s">
        <v>10</v>
      </c>
      <c r="F10" s="6" t="s">
        <v>17</v>
      </c>
      <c r="G10" s="6" t="s">
        <v>18</v>
      </c>
      <c r="H10" s="6" t="s">
        <v>19</v>
      </c>
      <c r="I10" t="s">
        <v>10</v>
      </c>
    </row>
    <row r="11" spans="2:9" ht="19.95" customHeight="1" x14ac:dyDescent="0.25">
      <c r="B11" s="1"/>
      <c r="C11" s="52" t="s">
        <v>20</v>
      </c>
      <c r="D11" s="53"/>
      <c r="E11" s="54"/>
      <c r="F11" s="9"/>
      <c r="G11" s="10"/>
      <c r="H11" s="14" t="str">
        <f>IF(AND(ISBLANK(F11),ISBLANK(G11)),"?", "Anything entered in this row will be ignored")</f>
        <v>?</v>
      </c>
      <c r="I11" s="1">
        <v>-1</v>
      </c>
    </row>
    <row r="12" spans="2:9" ht="195" x14ac:dyDescent="0.25">
      <c r="B12" s="1">
        <v>1257726</v>
      </c>
      <c r="C12" s="3" t="s">
        <v>21</v>
      </c>
      <c r="D12" s="13" t="s">
        <v>22</v>
      </c>
      <c r="E12" s="4"/>
      <c r="F12" s="7" t="s">
        <v>62</v>
      </c>
      <c r="G12" s="8" t="s">
        <v>81</v>
      </c>
      <c r="H12" s="14" t="str">
        <f ca="1">IF(AND(ISNA(MATCH(OFFSET($H12,0,-2)&amp;"",responseOption0,0)),NOT(TRIM(OFFSET($H12,0,-2)) = "")),"Response must be one of "&amp;INDEX(responseValidationRulesGroup0,4,1),IF(AND(IF(ISNA(INDEX(responseValidationRulesGroup0,MATCH(OFFSET($H12,0,-2)&amp;"",responseOption0,0),2)),FALSE,INDEX(responseValidationRulesGroup0,MATCH(OFFSET($H12,0,-2)&amp;"",responseOption0,0),2)),TRIM(OFFSET($H12,0,-1)) = ""),"A comment is required for this response",IF(IF(ISNA(INDEX(responseValidationRulesGroup0,MATCH(OFFSET($H12,0,-2)&amp;"",responseOption0,0),3)),FALSE,INDEX(responseValidationRulesGroup0,MATCH(OFFSET($H12,0,-2)&amp;"",responseOption0,0),3)),IF(TRIM(OFFSET($H12,0,-1)) = "","Complete","The comment must be left blank for this response"),IF(TRIM(OFFSET($H12,0,-2))="","Incomplete", "Complete"))))</f>
        <v>Complete</v>
      </c>
      <c r="I12" s="1">
        <v>1</v>
      </c>
    </row>
    <row r="13" spans="2:9" ht="45" x14ac:dyDescent="0.25">
      <c r="B13" s="1">
        <v>1257730</v>
      </c>
      <c r="C13" s="3" t="s">
        <v>24</v>
      </c>
      <c r="D13" s="13" t="s">
        <v>25</v>
      </c>
      <c r="E13" s="4"/>
      <c r="F13" s="7" t="s">
        <v>23</v>
      </c>
      <c r="G13" s="8" t="s">
        <v>79</v>
      </c>
      <c r="H13" s="14" t="str">
        <f ca="1">IF(AND(
            OR(OFFSET($H13,0,-2) = "-",OFFSET($H13,0,-2) = ""),OFFSET($H13,0,-1) = ""),"Incomplete","Complete")</f>
        <v>Complete</v>
      </c>
      <c r="I13" s="1">
        <v>0</v>
      </c>
    </row>
    <row r="14" spans="2:9" ht="360" x14ac:dyDescent="0.25">
      <c r="B14" s="1">
        <v>1257731</v>
      </c>
      <c r="C14" s="3" t="s">
        <v>26</v>
      </c>
      <c r="D14" s="13" t="s">
        <v>27</v>
      </c>
      <c r="E14" s="4"/>
      <c r="F14" s="7" t="s">
        <v>23</v>
      </c>
      <c r="G14" s="8" t="s">
        <v>86</v>
      </c>
      <c r="H14" s="14" t="str">
        <f ca="1">IF(AND(
            OR(OFFSET($H14,0,-2) = "-",OFFSET($H14,0,-2) = ""),OFFSET($H14,0,-1) = ""),"Incomplete","Complete")</f>
        <v>Complete</v>
      </c>
      <c r="I14" s="1">
        <v>1</v>
      </c>
    </row>
    <row r="15" spans="2:9" ht="135" x14ac:dyDescent="0.25">
      <c r="B15" s="1">
        <v>1254674</v>
      </c>
      <c r="C15" s="3" t="s">
        <v>28</v>
      </c>
      <c r="D15" s="13" t="s">
        <v>29</v>
      </c>
      <c r="E15" s="4"/>
      <c r="F15" s="7" t="s">
        <v>23</v>
      </c>
      <c r="G15" s="8" t="s">
        <v>90</v>
      </c>
      <c r="H15" s="14" t="str">
        <f ca="1">IF(AND(
            OR(OFFSET($H15,0,-2) = "-",OFFSET($H15,0,-2) = ""),OFFSET($H15,0,-1) = ""),"Incomplete","Complete")</f>
        <v>Complete</v>
      </c>
      <c r="I15" s="1">
        <v>0</v>
      </c>
    </row>
    <row r="16" spans="2:9" ht="19.95" customHeight="1" x14ac:dyDescent="0.25">
      <c r="B16" s="1"/>
      <c r="C16" s="52" t="s">
        <v>30</v>
      </c>
      <c r="D16" s="53"/>
      <c r="E16" s="54"/>
      <c r="F16" s="9"/>
      <c r="G16" s="10"/>
      <c r="H16" s="14" t="str">
        <f>IF(AND(ISBLANK(F16),ISBLANK(G16)),"?", "Anything entered in this row will be ignored")</f>
        <v>?</v>
      </c>
      <c r="I16" s="1">
        <v>-1</v>
      </c>
    </row>
    <row r="17" spans="2:9" ht="409.6" x14ac:dyDescent="0.25">
      <c r="B17" s="1">
        <v>1257715</v>
      </c>
      <c r="C17" s="3" t="s">
        <v>31</v>
      </c>
      <c r="D17" s="13" t="s">
        <v>32</v>
      </c>
      <c r="E17" s="4"/>
      <c r="F17" s="7" t="s">
        <v>23</v>
      </c>
      <c r="G17" s="8" t="s">
        <v>93</v>
      </c>
      <c r="H17" s="14" t="str">
        <f ca="1">IF(AND(
            OR(OFFSET($H17,0,-2) = "-",OFFSET($H17,0,-2) = ""),OFFSET($H17,0,-1) = ""),"Incomplete","Complete")</f>
        <v>Complete</v>
      </c>
      <c r="I17" s="1">
        <v>1</v>
      </c>
    </row>
    <row r="18" spans="2:9" ht="19.95" customHeight="1" x14ac:dyDescent="0.25">
      <c r="B18" s="1"/>
      <c r="C18" s="52" t="s">
        <v>33</v>
      </c>
      <c r="D18" s="53"/>
      <c r="E18" s="54"/>
      <c r="F18" s="9"/>
      <c r="G18" s="10"/>
      <c r="H18" s="14" t="str">
        <f>IF(AND(ISBLANK(F18),ISBLANK(G18)),"?", "Anything entered in this row will be ignored")</f>
        <v>?</v>
      </c>
      <c r="I18" s="1">
        <v>-1</v>
      </c>
    </row>
    <row r="19" spans="2:9" ht="45" x14ac:dyDescent="0.25">
      <c r="B19" s="1">
        <v>1257733</v>
      </c>
      <c r="C19" s="3" t="s">
        <v>34</v>
      </c>
      <c r="D19" s="13" t="s">
        <v>35</v>
      </c>
      <c r="E19" s="4"/>
      <c r="F19" s="7" t="s">
        <v>66</v>
      </c>
      <c r="G19" s="8"/>
      <c r="H19" s="14" t="str">
        <f ca="1">IF(AND(ISNA(MATCH(OFFSET($H19,0,-2)&amp;"",responseOption1,0)),NOT(TRIM(OFFSET($H19,0,-2)) = "")),"Response must be one of "&amp;INDEX(responseValidationRulesGroup1,3,1),IF(AND(IF(ISNA(INDEX(responseValidationRulesGroup1,MATCH(OFFSET($H19,0,-2)&amp;"",responseOption1,0),2)),FALSE,INDEX(responseValidationRulesGroup1,MATCH(OFFSET($H19,0,-2)&amp;"",responseOption1,0),2)),TRIM(OFFSET($H19,0,-1)) = ""),"A comment is required for this response",IF(IF(ISNA(INDEX(responseValidationRulesGroup1,MATCH(OFFSET($H19,0,-2)&amp;"",responseOption1,0),3)),FALSE,INDEX(responseValidationRulesGroup1,MATCH(OFFSET($H19,0,-2)&amp;"",responseOption1,0),3)),IF(TRIM(OFFSET($H19,0,-1)) = "","Complete","The comment must be left blank for this response"),IF(TRIM(OFFSET($H19,0,-2))="","Incomplete", "Complete"))))</f>
        <v>Complete</v>
      </c>
      <c r="I19" s="1">
        <v>1</v>
      </c>
    </row>
    <row r="20" spans="2:9" ht="45" x14ac:dyDescent="0.25">
      <c r="B20" s="1">
        <v>1257734</v>
      </c>
      <c r="C20" s="3" t="s">
        <v>36</v>
      </c>
      <c r="D20" s="13" t="s">
        <v>37</v>
      </c>
      <c r="E20" s="4"/>
      <c r="F20" s="7" t="s">
        <v>67</v>
      </c>
      <c r="G20" s="8"/>
      <c r="H20" s="14" t="str">
        <f ca="1">IF(AND(ISNA(MATCH(OFFSET($H20,0,-2)&amp;"",responseOption1,0)),NOT(TRIM(OFFSET($H20,0,-2)) = "")),"Response must be one of "&amp;INDEX(responseValidationRulesGroup1,3,1),IF(AND(IF(ISNA(INDEX(responseValidationRulesGroup1,MATCH(OFFSET($H20,0,-2)&amp;"",responseOption1,0),2)),FALSE,INDEX(responseValidationRulesGroup1,MATCH(OFFSET($H20,0,-2)&amp;"",responseOption1,0),2)),TRIM(OFFSET($H20,0,-1)) = ""),"A comment is required for this response",IF(IF(ISNA(INDEX(responseValidationRulesGroup1,MATCH(OFFSET($H20,0,-2)&amp;"",responseOption1,0),3)),FALSE,INDEX(responseValidationRulesGroup1,MATCH(OFFSET($H20,0,-2)&amp;"",responseOption1,0),3)),IF(TRIM(OFFSET($H20,0,-1)) = "","Complete","The comment must be left blank for this response"),IF(TRIM(OFFSET($H20,0,-2))="","Incomplete", "Complete"))))</f>
        <v>Complete</v>
      </c>
      <c r="I20" s="1">
        <v>0</v>
      </c>
    </row>
    <row r="21" spans="2:9" ht="150" x14ac:dyDescent="0.25">
      <c r="B21" s="1">
        <v>1257738</v>
      </c>
      <c r="C21" s="3" t="s">
        <v>38</v>
      </c>
      <c r="D21" s="13" t="s">
        <v>39</v>
      </c>
      <c r="E21" s="4"/>
      <c r="F21" s="7" t="s">
        <v>69</v>
      </c>
      <c r="G21" s="8" t="s">
        <v>91</v>
      </c>
      <c r="H21" s="14" t="str">
        <f ca="1">IF(AND(ISNA(MATCH(OFFSET($H21,0,-2)&amp;"",responseOption2,0)),NOT(TRIM(OFFSET($H21,0,-2)) = "")),"Response must be one of "&amp;INDEX(responseValidationRulesGroup2,3,1),IF(AND(IF(ISNA(INDEX(responseValidationRulesGroup2,MATCH(OFFSET($H21,0,-2)&amp;"",responseOption2,0),2)),FALSE,INDEX(responseValidationRulesGroup2,MATCH(OFFSET($H21,0,-2)&amp;"",responseOption2,0),2)),TRIM(OFFSET($H21,0,-1)) = ""),"A comment is required for this response",IF(IF(ISNA(INDEX(responseValidationRulesGroup2,MATCH(OFFSET($H21,0,-2)&amp;"",responseOption2,0),3)),FALSE,INDEX(responseValidationRulesGroup2,MATCH(OFFSET($H21,0,-2)&amp;"",responseOption2,0),3)),IF(TRIM(OFFSET($H21,0,-1)) = "","Complete","The comment must be left blank for this response"),IF(TRIM(OFFSET($H21,0,-2))="","Incomplete", "Complete"))))</f>
        <v>Complete</v>
      </c>
      <c r="I21" s="1">
        <v>1</v>
      </c>
    </row>
    <row r="22" spans="2:9" ht="330" x14ac:dyDescent="0.25">
      <c r="B22" s="1">
        <v>1257740</v>
      </c>
      <c r="C22" s="3" t="s">
        <v>40</v>
      </c>
      <c r="D22" s="13" t="s">
        <v>41</v>
      </c>
      <c r="E22" s="4"/>
      <c r="F22" s="7" t="s">
        <v>71</v>
      </c>
      <c r="G22" s="8" t="s">
        <v>92</v>
      </c>
      <c r="H22" s="14" t="str">
        <f ca="1">IF(AND(ISNA(MATCH(OFFSET($H22,0,-2)&amp;"",responseOption3,0)),NOT(TRIM(OFFSET($H22,0,-2)) = "")),"Response must be one of "&amp;INDEX(responseValidationRulesGroup3,3,1),IF(AND(IF(ISNA(INDEX(responseValidationRulesGroup3,MATCH(OFFSET($H22,0,-2)&amp;"",responseOption3,0),2)),FALSE,INDEX(responseValidationRulesGroup3,MATCH(OFFSET($H22,0,-2)&amp;"",responseOption3,0),2)),TRIM(OFFSET($H22,0,-1)) = ""),"A comment is required for this response",IF(IF(ISNA(INDEX(responseValidationRulesGroup3,MATCH(OFFSET($H22,0,-2)&amp;"",responseOption3,0),3)),FALSE,INDEX(responseValidationRulesGroup3,MATCH(OFFSET($H22,0,-2)&amp;"",responseOption3,0),3)),IF(TRIM(OFFSET($H22,0,-1)) = "","Complete","The comment must be left blank for this response"),IF(TRIM(OFFSET($H22,0,-2))="","Incomplete", "Complete"))))</f>
        <v>Complete</v>
      </c>
      <c r="I22" s="1">
        <v>0</v>
      </c>
    </row>
    <row r="23" spans="2:9" ht="60" x14ac:dyDescent="0.25">
      <c r="B23" s="1">
        <v>1258124</v>
      </c>
      <c r="C23" s="3" t="s">
        <v>42</v>
      </c>
      <c r="D23" s="13" t="s">
        <v>43</v>
      </c>
      <c r="E23" s="4"/>
      <c r="F23" s="7" t="s">
        <v>73</v>
      </c>
      <c r="G23" s="8" t="s">
        <v>84</v>
      </c>
      <c r="H23" s="14" t="str">
        <f ca="1">IF(AND(ISNA(MATCH(OFFSET($H23,0,-2)&amp;"",responseOption4,0)),NOT(TRIM(OFFSET($H23,0,-2)) = "")),"Response must be one of "&amp;INDEX(responseValidationRulesGroup4,3,1),IF(AND(IF(ISNA(INDEX(responseValidationRulesGroup4,MATCH(OFFSET($H23,0,-2)&amp;"",responseOption4,0),2)),FALSE,INDEX(responseValidationRulesGroup4,MATCH(OFFSET($H23,0,-2)&amp;"",responseOption4,0),2)),TRIM(OFFSET($H23,0,-1)) = ""),"A comment is required for this response",IF(IF(ISNA(INDEX(responseValidationRulesGroup4,MATCH(OFFSET($H23,0,-2)&amp;"",responseOption4,0),3)),FALSE,INDEX(responseValidationRulesGroup4,MATCH(OFFSET($H23,0,-2)&amp;"",responseOption4,0),3)),IF(TRIM(OFFSET($H23,0,-1)) = "","Complete","The comment must be left blank for this response"),IF(TRIM(OFFSET($H23,0,-2))="","Incomplete", "Complete"))))</f>
        <v>Complete</v>
      </c>
      <c r="I23" s="1">
        <v>1</v>
      </c>
    </row>
    <row r="24" spans="2:9" ht="45" x14ac:dyDescent="0.25">
      <c r="B24" s="1">
        <v>1258128</v>
      </c>
      <c r="C24" s="3" t="s">
        <v>44</v>
      </c>
      <c r="D24" s="13" t="s">
        <v>45</v>
      </c>
      <c r="E24" s="4"/>
      <c r="F24" s="7" t="s">
        <v>23</v>
      </c>
      <c r="G24" s="8" t="s">
        <v>80</v>
      </c>
      <c r="H24" s="14" t="str">
        <f ca="1">IF(AND(
            OR(OFFSET($H24,0,-2) = "-",OFFSET($H24,0,-2) = ""),OFFSET($H24,0,-1) = ""),"Incomplete","Complete")</f>
        <v>Complete</v>
      </c>
      <c r="I24" s="1">
        <v>0</v>
      </c>
    </row>
    <row r="25" spans="2:9" ht="165" x14ac:dyDescent="0.25">
      <c r="B25" s="1">
        <v>1258129</v>
      </c>
      <c r="C25" s="3" t="s">
        <v>46</v>
      </c>
      <c r="D25" s="13" t="s">
        <v>47</v>
      </c>
      <c r="E25" s="4"/>
      <c r="F25" s="7" t="s">
        <v>23</v>
      </c>
      <c r="G25" s="8" t="s">
        <v>85</v>
      </c>
      <c r="H25" s="14" t="str">
        <f ca="1">IF(AND(
            OR(OFFSET($H25,0,-2) = "-",OFFSET($H25,0,-2) = ""),OFFSET($H25,0,-1) = ""),"Incomplete","Complete")</f>
        <v>Complete</v>
      </c>
      <c r="I25" s="1">
        <v>1</v>
      </c>
    </row>
    <row r="26" spans="2:9" ht="60" x14ac:dyDescent="0.25">
      <c r="B26" s="1">
        <v>1258132</v>
      </c>
      <c r="C26" s="3" t="s">
        <v>48</v>
      </c>
      <c r="D26" s="13" t="s">
        <v>49</v>
      </c>
      <c r="E26" s="4"/>
      <c r="F26" s="7" t="s">
        <v>67</v>
      </c>
      <c r="G26" s="8"/>
      <c r="H26" s="14" t="str">
        <f ca="1">IF(AND(ISNA(MATCH(OFFSET($H26,0,-2)&amp;"",responseOption5,0)),NOT(TRIM(OFFSET($H26,0,-2)) = "")),"Response must be one of "&amp;INDEX(responseValidationRulesGroup5,3,1),IF(AND(IF(ISNA(INDEX(responseValidationRulesGroup5,MATCH(OFFSET($H26,0,-2)&amp;"",responseOption5,0),2)),FALSE,INDEX(responseValidationRulesGroup5,MATCH(OFFSET($H26,0,-2)&amp;"",responseOption5,0),2)),TRIM(OFFSET($H26,0,-1)) = ""),"A comment is required for this response",IF(IF(ISNA(INDEX(responseValidationRulesGroup5,MATCH(OFFSET($H26,0,-2)&amp;"",responseOption5,0),3)),FALSE,INDEX(responseValidationRulesGroup5,MATCH(OFFSET($H26,0,-2)&amp;"",responseOption5,0),3)),IF(TRIM(OFFSET($H26,0,-1)) = "","Complete","The comment must be left blank for this response"),IF(TRIM(OFFSET($H26,0,-2))="","Incomplete", "Complete"))))</f>
        <v>Complete</v>
      </c>
      <c r="I26" s="1">
        <v>0</v>
      </c>
    </row>
    <row r="27" spans="2:9" ht="75" x14ac:dyDescent="0.25">
      <c r="B27" s="1">
        <v>1258137</v>
      </c>
      <c r="C27" s="3" t="s">
        <v>50</v>
      </c>
      <c r="D27" s="13" t="s">
        <v>51</v>
      </c>
      <c r="E27" s="4"/>
      <c r="F27" s="7" t="s">
        <v>23</v>
      </c>
      <c r="G27" s="8" t="s">
        <v>87</v>
      </c>
      <c r="H27" s="14" t="str">
        <f ca="1">IF(AND(
            OR(OFFSET($H27,0,-2) = "-",OFFSET($H27,0,-2) = ""),OFFSET($H27,0,-1) = ""),"Incomplete","Complete")</f>
        <v>Complete</v>
      </c>
      <c r="I27" s="1">
        <v>1</v>
      </c>
    </row>
    <row r="28" spans="2:9" ht="90" x14ac:dyDescent="0.25">
      <c r="B28" s="1">
        <v>1258139</v>
      </c>
      <c r="C28" s="3" t="s">
        <v>52</v>
      </c>
      <c r="D28" s="13" t="s">
        <v>53</v>
      </c>
      <c r="E28" s="4"/>
      <c r="F28" s="7" t="s">
        <v>23</v>
      </c>
      <c r="G28" s="8" t="s">
        <v>89</v>
      </c>
      <c r="H28" s="14" t="str">
        <f ca="1">IF(AND(
            OR(OFFSET($H28,0,-2) = "-",OFFSET($H28,0,-2) = ""),OFFSET($H28,0,-1) = ""),"Incomplete","Complete")</f>
        <v>Complete</v>
      </c>
      <c r="I28" s="1">
        <v>0</v>
      </c>
    </row>
    <row r="29" spans="2:9" ht="105" x14ac:dyDescent="0.25">
      <c r="B29" s="1">
        <v>1258141</v>
      </c>
      <c r="C29" s="3" t="s">
        <v>54</v>
      </c>
      <c r="D29" s="13" t="s">
        <v>55</v>
      </c>
      <c r="E29" s="4"/>
      <c r="F29" s="7" t="s">
        <v>23</v>
      </c>
      <c r="G29" s="8" t="s">
        <v>82</v>
      </c>
      <c r="H29" s="14" t="str">
        <f ca="1">IF(AND(
            OR(OFFSET($H29,0,-2) = "-",OFFSET($H29,0,-2) = ""),OFFSET($H29,0,-1) = ""),"Incomplete","Complete")</f>
        <v>Complete</v>
      </c>
      <c r="I29" s="1">
        <v>1</v>
      </c>
    </row>
    <row r="30" spans="2:9" ht="75" x14ac:dyDescent="0.25">
      <c r="B30" s="1">
        <v>1363343</v>
      </c>
      <c r="C30" s="3" t="s">
        <v>56</v>
      </c>
      <c r="D30" s="13" t="s">
        <v>57</v>
      </c>
      <c r="E30" s="4"/>
      <c r="F30" s="7" t="s">
        <v>23</v>
      </c>
      <c r="G30" s="8" t="s">
        <v>83</v>
      </c>
      <c r="H30" s="14" t="str">
        <f ca="1">IF(AND(
            OR(OFFSET($H30,0,-2) = "-",OFFSET($H30,0,-2) = ""),OFFSET($H30,0,-1) = ""),"Incomplete","Complete")</f>
        <v>Complete</v>
      </c>
      <c r="I30" s="1">
        <v>0</v>
      </c>
    </row>
    <row r="31" spans="2:9" ht="135" x14ac:dyDescent="0.25">
      <c r="B31" s="1">
        <v>1363448</v>
      </c>
      <c r="C31" s="3" t="s">
        <v>58</v>
      </c>
      <c r="D31" s="13" t="s">
        <v>59</v>
      </c>
      <c r="E31" s="4"/>
      <c r="F31" s="7" t="s">
        <v>77</v>
      </c>
      <c r="G31" s="8" t="s">
        <v>88</v>
      </c>
      <c r="H31" s="14" t="str">
        <f ca="1">IF(AND(ISNA(MATCH(OFFSET($H31,0,-2)&amp;"",responseOption6,0)),NOT(TRIM(OFFSET($H31,0,-2)) = "")),"Response must be one of "&amp;INDEX(responseValidationRulesGroup6,3,1),IF(AND(IF(ISNA(INDEX(responseValidationRulesGroup6,MATCH(OFFSET($H31,0,-2)&amp;"",responseOption6,0),2)),FALSE,INDEX(responseValidationRulesGroup6,MATCH(OFFSET($H31,0,-2)&amp;"",responseOption6,0),2)),TRIM(OFFSET($H31,0,-1)) = ""),"A comment is required for this response",IF(IF(ISNA(INDEX(responseValidationRulesGroup6,MATCH(OFFSET($H31,0,-2)&amp;"",responseOption6,0),3)),FALSE,INDEX(responseValidationRulesGroup6,MATCH(OFFSET($H31,0,-2)&amp;"",responseOption6,0),3)),IF(TRIM(OFFSET($H31,0,-1)) = "","Complete","The comment must be left blank for this response"),IF(TRIM(OFFSET($H31,0,-2))="","Incomplete", "Complete"))))</f>
        <v>Complete</v>
      </c>
      <c r="I31" s="1">
        <v>1</v>
      </c>
    </row>
    <row r="32" spans="2:9" ht="75" x14ac:dyDescent="0.25">
      <c r="B32" s="1">
        <v>1258142</v>
      </c>
      <c r="C32" s="3" t="s">
        <v>60</v>
      </c>
      <c r="D32" s="13" t="s">
        <v>61</v>
      </c>
      <c r="E32" s="4"/>
      <c r="F32" s="7" t="s">
        <v>23</v>
      </c>
      <c r="G32" s="8" t="s">
        <v>94</v>
      </c>
      <c r="H32" s="14" t="str">
        <f ca="1">IF(AND(
            OR(OFFSET($H32,0,-2) = "-",OFFSET($H32,0,-2) = ""),OFFSET($H32,0,-1) = ""),"Incomplete","Complete")</f>
        <v>Complete</v>
      </c>
      <c r="I32" s="1">
        <v>0</v>
      </c>
    </row>
    <row r="33" spans="2:8" ht="27" customHeight="1" x14ac:dyDescent="0.25">
      <c r="B33">
        <v>-1</v>
      </c>
      <c r="C33" s="55">
        <f>COUNTIF(I11:I32,"&lt;&gt;-1")</f>
        <v>19</v>
      </c>
      <c r="D33" s="56"/>
      <c r="E33" s="12"/>
      <c r="F33" s="57">
        <f ca="1">IF(C33=0,1,(COUNTIF(H11:H32,TRUE)+COUNTIF(H11:H32,"Complete")) / (C33))</f>
        <v>1</v>
      </c>
      <c r="G33" s="56"/>
      <c r="H33" s="11"/>
    </row>
  </sheetData>
  <sheetProtection password="E36C" sheet="1" objects="1" scenarios="1" insertHyperlinks="0"/>
  <mergeCells count="5">
    <mergeCell ref="C11:E11"/>
    <mergeCell ref="C16:E16"/>
    <mergeCell ref="C18:E18"/>
    <mergeCell ref="C33:D33"/>
    <mergeCell ref="F33:G33"/>
  </mergeCells>
  <conditionalFormatting sqref="H11">
    <cfRule type="containsText" dxfId="11" priority="1" operator="containsText" text="~?">
      <formula>NOT(ISERROR(SEARCH("~?",H11)))</formula>
    </cfRule>
  </conditionalFormatting>
  <conditionalFormatting sqref="H16">
    <cfRule type="containsText" dxfId="10" priority="2" operator="containsText" text="~?">
      <formula>NOT(ISERROR(SEARCH("~?",H16)))</formula>
    </cfRule>
  </conditionalFormatting>
  <conditionalFormatting sqref="H18">
    <cfRule type="containsText" dxfId="9" priority="3" operator="containsText" text="~?">
      <formula>NOT(ISERROR(SEARCH("~?",H18)))</formula>
    </cfRule>
  </conditionalFormatting>
  <conditionalFormatting sqref="C11:G32">
    <cfRule type="expression" dxfId="8" priority="4">
      <formula>$I11=1</formula>
    </cfRule>
  </conditionalFormatting>
  <conditionalFormatting sqref="H11">
    <cfRule type="expression" dxfId="7" priority="5">
      <formula>$H11=""</formula>
    </cfRule>
  </conditionalFormatting>
  <conditionalFormatting sqref="H16">
    <cfRule type="expression" dxfId="6" priority="6">
      <formula>$H16=""</formula>
    </cfRule>
  </conditionalFormatting>
  <conditionalFormatting sqref="H18">
    <cfRule type="expression" dxfId="5" priority="7">
      <formula>$H18=""</formula>
    </cfRule>
  </conditionalFormatting>
  <conditionalFormatting sqref="H11:H32">
    <cfRule type="expression" dxfId="4" priority="8">
      <formula>$H11 ="Complete"</formula>
    </cfRule>
    <cfRule type="expression" dxfId="3" priority="9">
      <formula>$H11=1</formula>
    </cfRule>
    <cfRule type="expression" dxfId="2" priority="10">
      <formula>$H11</formula>
    </cfRule>
    <cfRule type="expression" dxfId="1" priority="11">
      <formula>AND(NOT(ISBLANK($H11)), NOT($H11))</formula>
    </cfRule>
    <cfRule type="expression" dxfId="0" priority="12">
      <formula>NOT(ISBLANK($H11))</formula>
    </cfRule>
  </conditionalFormatting>
  <dataValidations count="7">
    <dataValidation type="list" showErrorMessage="1" errorTitle="Error - Invalid Input" error="Please select an item from the drop-down list." sqref="F19:F20" xr:uid="{00000000-0002-0000-0200-000000000000}">
      <formula1>"Yes,No"</formula1>
    </dataValidation>
    <dataValidation type="list" showErrorMessage="1" errorTitle="Error - Invalid Input" error="Please select an item from the drop-down list." sqref="F26" xr:uid="{00000000-0002-0000-0200-000001000000}">
      <formula1>"Yes - Please explain why you failed to meet the deadline,No"</formula1>
    </dataValidation>
    <dataValidation type="list" showErrorMessage="1" errorTitle="Error - Invalid Input" error="Please select an item from the drop-down list." sqref="F21" xr:uid="{00000000-0002-0000-0200-000002000000}">
      <formula1>"Yes; what changed?,No"</formula1>
    </dataValidation>
    <dataValidation type="list" showErrorMessage="1" errorTitle="Error - Invalid Input" error="Please select an item from the drop-down list." sqref="F31" xr:uid="{00000000-0002-0000-0200-000003000000}">
      <formula1>"Yes,No - What positions are open &amp; why? How does this impact your services?"</formula1>
    </dataValidation>
    <dataValidation type="list" showErrorMessage="1" errorTitle="Error - Invalid Input" error="Please select an item from the drop-down list." sqref="F22" xr:uid="{00000000-0002-0000-0200-000004000000}">
      <formula1>"Yes; How much? From what source? Why was funding lost?,No"</formula1>
    </dataValidation>
    <dataValidation type="list" showErrorMessage="1" errorTitle="Error - Invalid Input" error="Please select an item from the drop-down list." sqref="F23" xr:uid="{00000000-0002-0000-0200-000005000000}">
      <formula1>"Yes - Please list source(s) and amount(s).,No"</formula1>
    </dataValidation>
    <dataValidation type="list" showErrorMessage="1" errorTitle="Error - Invalid Input" error="Please select an item from the drop-down list." sqref="F12" xr:uid="{00000000-0002-0000-0200-000006000000}">
      <formula1>"Medical Services,Core Social Services,Quality of Life Improvement Services"</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4"/>
  <sheetViews>
    <sheetView workbookViewId="0">
      <selection sqref="A1:U4"/>
    </sheetView>
  </sheetViews>
  <sheetFormatPr defaultRowHeight="15" x14ac:dyDescent="0.25"/>
  <sheetData>
    <row r="1" spans="1:21" x14ac:dyDescent="0.25">
      <c r="A1" s="26" t="s">
        <v>62</v>
      </c>
      <c r="B1" s="1" t="b">
        <f>FALSE()</f>
        <v>0</v>
      </c>
      <c r="C1" s="1" t="b">
        <f>FALSE()</f>
        <v>0</v>
      </c>
      <c r="D1" s="26" t="s">
        <v>66</v>
      </c>
      <c r="E1" s="1" t="b">
        <f>FALSE()</f>
        <v>0</v>
      </c>
      <c r="F1" s="1" t="b">
        <f>TRUE()</f>
        <v>1</v>
      </c>
      <c r="G1" s="26" t="s">
        <v>69</v>
      </c>
      <c r="H1" s="1" t="b">
        <f>TRUE()</f>
        <v>1</v>
      </c>
      <c r="I1" s="1" t="b">
        <f>FALSE()</f>
        <v>0</v>
      </c>
      <c r="J1" s="26" t="s">
        <v>71</v>
      </c>
      <c r="K1" s="1" t="b">
        <f>TRUE()</f>
        <v>1</v>
      </c>
      <c r="L1" s="1" t="b">
        <f>FALSE()</f>
        <v>0</v>
      </c>
      <c r="M1" s="26" t="s">
        <v>73</v>
      </c>
      <c r="N1" s="1" t="b">
        <f>TRUE()</f>
        <v>1</v>
      </c>
      <c r="O1" s="1" t="b">
        <f>FALSE()</f>
        <v>0</v>
      </c>
      <c r="P1" s="26" t="s">
        <v>75</v>
      </c>
      <c r="Q1" s="1" t="b">
        <f>TRUE()</f>
        <v>1</v>
      </c>
      <c r="R1" s="1" t="b">
        <f>FALSE()</f>
        <v>0</v>
      </c>
      <c r="S1" s="26" t="s">
        <v>66</v>
      </c>
      <c r="T1" s="1" t="b">
        <f>FALSE()</f>
        <v>0</v>
      </c>
      <c r="U1" s="1" t="b">
        <f>FALSE()</f>
        <v>0</v>
      </c>
    </row>
    <row r="2" spans="1:21" x14ac:dyDescent="0.25">
      <c r="A2" s="26" t="s">
        <v>63</v>
      </c>
      <c r="B2" s="1" t="b">
        <f>FALSE()</f>
        <v>0</v>
      </c>
      <c r="C2" s="1" t="b">
        <f>FALSE()</f>
        <v>0</v>
      </c>
      <c r="D2" s="26" t="s">
        <v>67</v>
      </c>
      <c r="E2" s="1" t="b">
        <f>FALSE()</f>
        <v>0</v>
      </c>
      <c r="F2" s="1" t="b">
        <f>TRUE()</f>
        <v>1</v>
      </c>
      <c r="G2" s="26" t="s">
        <v>67</v>
      </c>
      <c r="H2" s="1" t="b">
        <f>FALSE()</f>
        <v>0</v>
      </c>
      <c r="I2" s="1" t="b">
        <f>TRUE()</f>
        <v>1</v>
      </c>
      <c r="J2" s="26" t="s">
        <v>67</v>
      </c>
      <c r="K2" s="1" t="b">
        <f>FALSE()</f>
        <v>0</v>
      </c>
      <c r="L2" s="1" t="b">
        <f>TRUE()</f>
        <v>1</v>
      </c>
      <c r="M2" s="26" t="s">
        <v>67</v>
      </c>
      <c r="N2" s="1" t="b">
        <f>FALSE()</f>
        <v>0</v>
      </c>
      <c r="O2" s="1" t="b">
        <f>TRUE()</f>
        <v>1</v>
      </c>
      <c r="P2" s="26" t="s">
        <v>67</v>
      </c>
      <c r="Q2" s="1" t="b">
        <f>FALSE()</f>
        <v>0</v>
      </c>
      <c r="R2" s="1" t="b">
        <f>TRUE()</f>
        <v>1</v>
      </c>
      <c r="S2" s="26" t="s">
        <v>77</v>
      </c>
      <c r="T2" s="1" t="b">
        <f>TRUE()</f>
        <v>1</v>
      </c>
      <c r="U2" s="1" t="b">
        <f>FALSE()</f>
        <v>0</v>
      </c>
    </row>
    <row r="3" spans="1:21" x14ac:dyDescent="0.25">
      <c r="A3" s="26" t="s">
        <v>64</v>
      </c>
      <c r="B3" s="1" t="b">
        <f>FALSE()</f>
        <v>0</v>
      </c>
      <c r="C3" s="1" t="b">
        <f>FALSE()</f>
        <v>0</v>
      </c>
      <c r="D3" s="1" t="s">
        <v>68</v>
      </c>
      <c r="E3" s="1"/>
      <c r="F3" s="1"/>
      <c r="G3" s="1" t="s">
        <v>70</v>
      </c>
      <c r="H3" s="1"/>
      <c r="I3" s="1"/>
      <c r="J3" s="1" t="s">
        <v>72</v>
      </c>
      <c r="K3" s="1"/>
      <c r="L3" s="1"/>
      <c r="M3" s="1" t="s">
        <v>74</v>
      </c>
      <c r="N3" s="1"/>
      <c r="O3" s="1"/>
      <c r="P3" s="1" t="s">
        <v>76</v>
      </c>
      <c r="Q3" s="1"/>
      <c r="R3" s="1"/>
      <c r="S3" s="1" t="s">
        <v>78</v>
      </c>
      <c r="T3" s="1"/>
      <c r="U3" s="1"/>
    </row>
    <row r="4" spans="1:21" x14ac:dyDescent="0.25">
      <c r="A4" s="1" t="s">
        <v>65</v>
      </c>
      <c r="B4" s="1"/>
      <c r="C4" s="1"/>
      <c r="D4" s="1"/>
      <c r="E4" s="1"/>
      <c r="F4" s="1"/>
      <c r="G4" s="1"/>
      <c r="H4" s="1"/>
      <c r="I4" s="1"/>
      <c r="J4" s="1"/>
      <c r="K4" s="1"/>
      <c r="L4" s="1"/>
      <c r="M4" s="1"/>
      <c r="N4" s="1"/>
      <c r="O4" s="1"/>
      <c r="P4" s="1"/>
      <c r="Q4" s="1"/>
      <c r="R4" s="1"/>
      <c r="S4" s="1"/>
      <c r="T4" s="1"/>
      <c r="U4" s="1"/>
    </row>
  </sheetData>
  <sheetProtection password="E36C" sheet="1" objects="1" scenarios="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14</vt:i4>
      </vt:variant>
    </vt:vector>
  </HeadingPairs>
  <TitlesOfParts>
    <vt:vector size="17" baseType="lpstr">
      <vt:lpstr>Instructions</vt:lpstr>
      <vt:lpstr>Summary</vt:lpstr>
      <vt:lpstr>1</vt:lpstr>
      <vt:lpstr>responseOption0</vt:lpstr>
      <vt:lpstr>responseOption1</vt:lpstr>
      <vt:lpstr>responseOption2</vt:lpstr>
      <vt:lpstr>responseOption3</vt:lpstr>
      <vt:lpstr>responseOption4</vt:lpstr>
      <vt:lpstr>responseOption5</vt:lpstr>
      <vt:lpstr>responseOption6</vt:lpstr>
      <vt:lpstr>responseValidationRulesGroup0</vt:lpstr>
      <vt:lpstr>responseValidationRulesGroup1</vt:lpstr>
      <vt:lpstr>responseValidationRulesGroup2</vt:lpstr>
      <vt:lpstr>responseValidationRulesGroup3</vt:lpstr>
      <vt:lpstr>responseValidationRulesGroup4</vt:lpstr>
      <vt:lpstr>responseValidationRulesGroup5</vt:lpstr>
      <vt:lpstr>responseValidationRulesGroup6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Response Template</dc:title>
  <dc:subject/>
  <dc:creator>Bonfire</dc:creator>
  <cp:keywords/>
  <dc:description/>
  <cp:lastModifiedBy>Kate Banick</cp:lastModifiedBy>
  <dcterms:created xsi:type="dcterms:W3CDTF">2025-03-11T14:50:40Z</dcterms:created>
  <dcterms:modified xsi:type="dcterms:W3CDTF">2025-03-18T14:11:15Z</dcterms:modified>
  <cp:category/>
</cp:coreProperties>
</file>