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15"/>
  <workbookPr codeName="ThisWorkbook"/>
  <mc:AlternateContent xmlns:mc="http://schemas.openxmlformats.org/markup-compatibility/2006">
    <mc:Choice Requires="x15">
      <x15ac:absPath xmlns:x15ac="http://schemas.microsoft.com/office/spreadsheetml/2010/11/ac" url="/Users/ryoncoote/Desktop/Billy Davis /Monroe County/ASPMC FY2026/"/>
    </mc:Choice>
  </mc:AlternateContent>
  <xr:revisionPtr revIDLastSave="0" documentId="13_ncr:1_{B8ABEF62-13C3-924A-9133-B29798923698}" xr6:coauthVersionLast="47" xr6:coauthVersionMax="47" xr10:uidLastSave="{00000000-0000-0000-0000-000000000000}"/>
  <workbookProtection lockStructure="1"/>
  <bookViews>
    <workbookView xWindow="-37020" yWindow="4940" windowWidth="28800" windowHeight="16180" activeTab="2" xr2:uid="{00000000-000D-0000-FFFF-FFFF00000000}"/>
  </bookViews>
  <sheets>
    <sheet name="Instructions" sheetId="1" r:id="rId1"/>
    <sheet name="Summary" sheetId="2" r:id="rId2"/>
    <sheet name="1" sheetId="3" r:id="rId3"/>
    <sheet name="Response Options (hidden)" sheetId="4" state="veryHidden" r:id="rId4"/>
  </sheets>
  <definedNames>
    <definedName name="responseOption0">'Response Options (hidden)'!$A$1:$A$3</definedName>
    <definedName name="responseOption1">'Response Options (hidden)'!$D$1:$D$2</definedName>
    <definedName name="responseOption2">'Response Options (hidden)'!$G$1:$G$2</definedName>
    <definedName name="responseOption3">'Response Options (hidden)'!$J$1:$J$2</definedName>
    <definedName name="responseOption4">'Response Options (hidden)'!$M$1:$M$2</definedName>
    <definedName name="responseOption5">'Response Options (hidden)'!$P$1:$P$2</definedName>
    <definedName name="responseOption6">'Response Options (hidden)'!$S$1:$S$2</definedName>
    <definedName name="responseValidationRulesGroup0">'Response Options (hidden)'!$A$1:$C$4</definedName>
    <definedName name="responseValidationRulesGroup1">'Response Options (hidden)'!$D$1:$F$3</definedName>
    <definedName name="responseValidationRulesGroup2">'Response Options (hidden)'!$G$1:$I$3</definedName>
    <definedName name="responseValidationRulesGroup3">'Response Options (hidden)'!$J$1:$L$3</definedName>
    <definedName name="responseValidationRulesGroup4">'Response Options (hidden)'!$M$1:$O$3</definedName>
    <definedName name="responseValidationRulesGroup5">'Response Options (hidden)'!$P$1:$R$3</definedName>
    <definedName name="responseValidationRulesGroup6">'Response Options (hidden)'!$S$1:$U$3</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4" l="1"/>
  <c r="B3" i="4"/>
  <c r="U2" i="4"/>
  <c r="T2" i="4"/>
  <c r="R2" i="4"/>
  <c r="Q2" i="4"/>
  <c r="O2" i="4"/>
  <c r="N2" i="4"/>
  <c r="L2" i="4"/>
  <c r="K2" i="4"/>
  <c r="H22" i="3" s="1"/>
  <c r="I2" i="4"/>
  <c r="H2" i="4"/>
  <c r="F2" i="4"/>
  <c r="E2" i="4"/>
  <c r="C2" i="4"/>
  <c r="B2" i="4"/>
  <c r="U1" i="4"/>
  <c r="T1" i="4"/>
  <c r="H31" i="3" s="1"/>
  <c r="R1" i="4"/>
  <c r="Q1" i="4"/>
  <c r="O1" i="4"/>
  <c r="N1" i="4"/>
  <c r="L1" i="4"/>
  <c r="K1" i="4"/>
  <c r="I1" i="4"/>
  <c r="H1" i="4"/>
  <c r="F1" i="4"/>
  <c r="E1" i="4"/>
  <c r="C1" i="4"/>
  <c r="B1" i="4"/>
  <c r="C33" i="3"/>
  <c r="C11" i="2" s="1"/>
  <c r="C14" i="2" s="1"/>
  <c r="H32" i="3"/>
  <c r="H30" i="3"/>
  <c r="H29" i="3"/>
  <c r="H28" i="3"/>
  <c r="H27" i="3"/>
  <c r="H25" i="3"/>
  <c r="H24" i="3"/>
  <c r="H18" i="3"/>
  <c r="H17" i="3"/>
  <c r="H16" i="3"/>
  <c r="H15" i="3"/>
  <c r="H14" i="3"/>
  <c r="H13" i="3"/>
  <c r="H11" i="3"/>
  <c r="H26" i="3" l="1"/>
  <c r="H21" i="3"/>
  <c r="H23" i="3"/>
  <c r="H20" i="3"/>
  <c r="H12" i="3"/>
  <c r="H19" i="3"/>
  <c r="F33" i="3" l="1"/>
  <c r="E11" i="2" s="1"/>
  <c r="AY12" i="2" s="1"/>
  <c r="BD12" i="2" l="1"/>
  <c r="T12" i="2"/>
  <c r="AD12" i="2"/>
  <c r="O12" i="2"/>
  <c r="AF12" i="2"/>
  <c r="AM12" i="2"/>
  <c r="E14" i="2"/>
  <c r="G15" i="2" s="1"/>
  <c r="R12" i="2"/>
  <c r="V12" i="2"/>
  <c r="G12" i="2"/>
  <c r="X12" i="2"/>
  <c r="AO12" i="2"/>
  <c r="L12" i="2"/>
  <c r="BA12" i="2"/>
  <c r="P12" i="2"/>
  <c r="AG12" i="2"/>
  <c r="AI12" i="2"/>
  <c r="AC12" i="2"/>
  <c r="N12" i="2"/>
  <c r="H12" i="2"/>
  <c r="Y12" i="2"/>
  <c r="AX12" i="2"/>
  <c r="AZ12" i="2"/>
  <c r="M12" i="2"/>
  <c r="AK12" i="2"/>
  <c r="Q12" i="2"/>
  <c r="AP12" i="2"/>
  <c r="AA12" i="2"/>
  <c r="BB12" i="2"/>
  <c r="AQ12" i="2"/>
  <c r="BC12" i="2"/>
  <c r="AH12" i="2"/>
  <c r="S12" i="2"/>
  <c r="AR12" i="2"/>
  <c r="AE12" i="2"/>
  <c r="AV12" i="2"/>
  <c r="U12" i="2"/>
  <c r="I12" i="2"/>
  <c r="K12" i="2"/>
  <c r="AJ12" i="2"/>
  <c r="AT12" i="2"/>
  <c r="AN12" i="2"/>
  <c r="AS12" i="2"/>
  <c r="AU12" i="2"/>
  <c r="Z12" i="2"/>
  <c r="AB12" i="2"/>
  <c r="AL12" i="2"/>
  <c r="W12" i="2"/>
  <c r="AW12" i="2"/>
  <c r="J12" i="2"/>
  <c r="BF11" i="2"/>
  <c r="L15" i="2" l="1"/>
  <c r="AR15" i="2"/>
  <c r="AV15" i="2"/>
  <c r="AS15" i="2"/>
  <c r="AZ15" i="2"/>
  <c r="H15" i="2"/>
  <c r="S15" i="2"/>
  <c r="N15" i="2"/>
  <c r="BC15" i="2"/>
  <c r="V15" i="2"/>
  <c r="Q15" i="2"/>
  <c r="O15" i="2"/>
  <c r="AU15" i="2"/>
  <c r="AQ15" i="2"/>
  <c r="AC15" i="2"/>
  <c r="AB15" i="2"/>
  <c r="BB15" i="2"/>
  <c r="AJ15" i="2"/>
  <c r="R15" i="2"/>
  <c r="Y15" i="2"/>
  <c r="W15" i="2"/>
  <c r="J15" i="2"/>
  <c r="AY15" i="2"/>
  <c r="X15" i="2"/>
  <c r="I15" i="2"/>
  <c r="P15" i="2"/>
  <c r="AO15" i="2"/>
  <c r="AI15" i="2"/>
  <c r="U15" i="2"/>
  <c r="AM15" i="2"/>
  <c r="AT15" i="2"/>
  <c r="AK15" i="2"/>
  <c r="AE15" i="2"/>
  <c r="AD15" i="2"/>
  <c r="AN15" i="2"/>
  <c r="Z15" i="2"/>
  <c r="AF15" i="2"/>
  <c r="AX15" i="2"/>
  <c r="K15" i="2"/>
  <c r="AP15" i="2"/>
  <c r="AH15" i="2"/>
  <c r="AW15" i="2"/>
  <c r="BA15" i="2"/>
  <c r="M15" i="2"/>
  <c r="AG15" i="2"/>
  <c r="T15" i="2"/>
  <c r="BD15" i="2"/>
  <c r="AA15" i="2"/>
  <c r="AL15" i="2"/>
</calcChain>
</file>

<file path=xl/sharedStrings.xml><?xml version="1.0" encoding="utf-8"?>
<sst xmlns="http://schemas.openxmlformats.org/spreadsheetml/2006/main" count="107" uniqueCount="92">
  <si>
    <t>bd811f8b895408e24d5becd2cba021be67e6e068c3f8ec035acfa7e6293190183208df12fa82d074b5f87b498f7982b327985c75695ee9ea3d960200da04988dxRrAvmbJDAi0NuTvS40gvfeFuUJSZNUk2nd8XiRvq4FpBkBkDtHFdQSORgnmh0ZC</t>
  </si>
  <si>
    <t>HSAB Applicant Questions (Q-59IT)</t>
  </si>
  <si>
    <t>Instructions</t>
  </si>
  <si>
    <t>- The Summary worksheet displays your overall progress for the questionnaire.
- The worksheets numbered from 1 to N represent question sets.
- For each question set, select a response from the dropdown (if applicable) and enter a response comment for each question in the table.
- If specific instructions have been provided for a given subset, they will appear as a tooltip for a purple cell. Mouse-over to review them.
-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do not use Excel formulas in your responses.
- Please follow the instructions provided along with this file to submit it back to Bonfire.
- If you have any questions regarding the content of this file, please contact the appropriate purchaser.
- If you have any technical problems, please contact Bonfire at Support@GoBonfire.com.</t>
  </si>
  <si>
    <t>Additional Instructions</t>
  </si>
  <si>
    <t>Summary tab shows progress completed, Tab 1 contains the questions to be answered.</t>
  </si>
  <si>
    <t>Total</t>
  </si>
  <si>
    <t>Summary</t>
  </si>
  <si>
    <t>Question Set</t>
  </si>
  <si>
    <t>Questions</t>
  </si>
  <si>
    <t>Hide Me</t>
  </si>
  <si>
    <t>% Complete</t>
  </si>
  <si>
    <t>Progress</t>
  </si>
  <si>
    <t>Error?</t>
  </si>
  <si>
    <t>Question Set 1: Questions</t>
  </si>
  <si>
    <t>#</t>
  </si>
  <si>
    <t>Question</t>
  </si>
  <si>
    <t>Response</t>
  </si>
  <si>
    <t>Comment</t>
  </si>
  <si>
    <t>Status</t>
  </si>
  <si>
    <t>General Use of Funds</t>
  </si>
  <si>
    <t>1.1.1</t>
  </si>
  <si>
    <t xml:space="preserve">
Amount requested for the upcoming fiscal year and select the category that best matches the proposed services. If the proposed program involves more than one (1) category enter the budget request for each category.
-Medical Services: Medical, mental, and dental care for the economically disadvantaged.
-Core Social Services: Essential services such as food clothing or housing: emergency disaster; family violence; and adult and child daycare.
-Quality of Life Improvement Services: Services provided to improve the quality of life for individuals or the community such as educational, preventative, training, recreational, and cultural services; etc.
</t>
  </si>
  <si>
    <t>1.1.2</t>
  </si>
  <si>
    <t xml:space="preserve">
Insert your agency’s board-approved mission statement only.
</t>
  </si>
  <si>
    <t>1.1.3</t>
  </si>
  <si>
    <t xml:space="preserve">
List the services your agency provides.
</t>
  </si>
  <si>
    <t>1.1.4</t>
  </si>
  <si>
    <t xml:space="preserve">
For fiscal year 2026, specifically how will the amount requested be utilized?
</t>
  </si>
  <si>
    <t>Cover Letter</t>
  </si>
  <si>
    <t>1.2.1</t>
  </si>
  <si>
    <t xml:space="preserve">
I: Provide a brief overview of your organization, what unique role in the community does your organization's proposed program fulfill that no one else does? 
II: Collaboration between agencies can bring cost-savings for all. Please describe any current cost-sharing measures, overlap, common associations, common services, networking and working relationships, or sub-contractor relationships you are involved in with any other organizations. Examples may include, but aren't limited to, shared services such as human resources, payroll processing, or IT, board members, or personnel.
</t>
  </si>
  <si>
    <t>Application Questions</t>
  </si>
  <si>
    <t>1.3.1</t>
  </si>
  <si>
    <t xml:space="preserve">
Have you previously been funded by HSAB?
</t>
  </si>
  <si>
    <t>1.3.2</t>
  </si>
  <si>
    <t xml:space="preserve">
Will County HSAB funds be used as match for a grant?
</t>
  </si>
  <si>
    <t>1.3.3</t>
  </si>
  <si>
    <t xml:space="preserve">
Have you experienced any changes specific to expansion or contraction of services, staff or location.
</t>
  </si>
  <si>
    <t>1.3.4</t>
  </si>
  <si>
    <t xml:space="preserve">
Did your agency lose any funding, or partial funding in 2025?
</t>
  </si>
  <si>
    <t>1.3.5</t>
  </si>
  <si>
    <t xml:space="preserve">
Will you or have you applied for other sources of County funding? 
(Please include these on the Agency Revenue form)
</t>
  </si>
  <si>
    <t>1.3.6</t>
  </si>
  <si>
    <t xml:space="preserve">
Describe your target population as specifically as possible.
</t>
  </si>
  <si>
    <t>1.3.7</t>
  </si>
  <si>
    <t xml:space="preserve">
How are clients referred to your agency?
</t>
  </si>
  <si>
    <t>1.3.8</t>
  </si>
  <si>
    <t xml:space="preserve">
Have you failed to submit any required reimbursement request, or the annual performance report as required by the grant agreement?
</t>
  </si>
  <si>
    <t>1.3.9</t>
  </si>
  <si>
    <t xml:space="preserve">
__________ hours of program service were contributed by ____________ volunteers in the last year (FY2023 - October 1, 2023 through September 30, 2024).
</t>
  </si>
  <si>
    <t>1.3.10</t>
  </si>
  <si>
    <t xml:space="preserve">
What measurable outcomes do you plan to accomplish in the next funding year and how will you measure these?
</t>
  </si>
  <si>
    <t>1.3.11</t>
  </si>
  <si>
    <t xml:space="preserve">
Provide information about units of service in the format below. (Response not required is applying for $5,000 or less).
Service: ______      Unit (Hour, session, day, etc.): ________       Cost charged per unit to client (range for current year): _____________
</t>
  </si>
  <si>
    <t>1.3.12</t>
  </si>
  <si>
    <t xml:space="preserve">
What is the current number of employees, full-time and part-time, on the payroll for the entire organization? How many employees ("snapshot") does your organization have as of today's date?
</t>
  </si>
  <si>
    <t>1.3.13</t>
  </si>
  <si>
    <t xml:space="preserve">
Is your organization fully staffed?
</t>
  </si>
  <si>
    <t>1.3.14</t>
  </si>
  <si>
    <t xml:space="preserve">
Address any topics not covered or include any additional information you would like the board to know (optional). Documents can be added in file uploads as under additional documentation.
</t>
  </si>
  <si>
    <t>Medical Services</t>
  </si>
  <si>
    <t>Core Social Services</t>
  </si>
  <si>
    <t>Quality of Life Improvement Services</t>
  </si>
  <si>
    <t>Medical Services, Core Social Services, Quality of Life Improvement Services</t>
  </si>
  <si>
    <t>Yes</t>
  </si>
  <si>
    <t>No</t>
  </si>
  <si>
    <t>Yes, No</t>
  </si>
  <si>
    <t>Yes; what changed?</t>
  </si>
  <si>
    <t>Yes; what changed?, No</t>
  </si>
  <si>
    <t>Yes; How much? From what source? Why was funding lost?</t>
  </si>
  <si>
    <t>Yes; How much? From what source? Why was funding lost?, No</t>
  </si>
  <si>
    <t>Yes - Please list source(s) and amount(s).</t>
  </si>
  <si>
    <t>Yes - Please list source(s) and amount(s)., No</t>
  </si>
  <si>
    <t>Yes - Please explain why you failed to meet the deadline</t>
  </si>
  <si>
    <t>Yes - Please explain why you failed to meet the deadline, No</t>
  </si>
  <si>
    <t>No - What positions are open &amp; why? How does this impact your services?</t>
  </si>
  <si>
    <t>Yes, No - What positions are open &amp; why? How does this impact your services?</t>
  </si>
  <si>
    <t>To improve the lives of at-risk children and strengthen the role of any father in the lives of their families.</t>
  </si>
  <si>
    <t>2) Skills training: parental, relationship, communication, anger management and domestic violence prevention skills.</t>
  </si>
  <si>
    <t>APSMC will offer a comprehensive range of services designed to address the various aspects of responsible fatherhood, tailored to the unique interests and needs of each participant. These services include:
1. Curriculum-based education focused on responsible fatherhood, utilizing the evidence-based 24/7 Dad® and InsideOut Dad® models.
2. Skills training in areas such as parenting, relationship building, communication, anger management, and domestic violence prevention.
3. Employment services including job readiness training, job coaching, and placement support.
4. Educational support services to help participants attain their GED, prepare for CDL certification, and earn OSHA credentials.
5. Child support intermediation to assist with navigating child support issues.
6. Referral and linkage to community-based agencies that address participants' basic needs.</t>
  </si>
  <si>
    <t>The grant funding will be used to support APSMC’s FY 2026 comprehensive services and programs, as well as the administrative costs associated with the Southernmost Fatherhood Initiative.</t>
  </si>
  <si>
    <t>Founded in 1999 under the Monroe County School Board, A Positive Step of Monroe County (APSMC) is a private, not-for-profit 501(c)(3) community-based organization committed to supporting high-risk children and their families. In 2018, APSMC expanded its mission as part of the National Fatherhood Initiative, shifting its focus to give absent fathers a voice. This shift led to the introduction of services designed to improve fathers' domestic stability, provide educational resources, and equip them with the tools to strengthen their families. APSMC also works to enhance parenting skills and promote economic stability, not only for fathers but for families as a whole, benefiting the broader community. APSMC’s fatherhood program is proudly recognized as the Southernmost Fatherhood Initiative within the National Fatherhood Initiative network.</t>
  </si>
  <si>
    <t>There were 0 hours of program services contributed by volunteers during the last year (FY2024, from October 1, 2023, through September 30, 2024)</t>
  </si>
  <si>
    <t>Program indicators for success are as follows:
80% of participants will demonstrate an increased understanding of responsible parenting and the role of a father.
80% of participants will have a greater awareness of the services available to them in the community.
50% of participants will attain at least one of the following: CDL license, OSHA certification, or GED.
90% of participants who successfully complete the fatherhood curriculum will secure employment within 90 days of program completion.</t>
  </si>
  <si>
    <t>Service:
Fatherhood Program Unit 1: $41 per hour
One Dad Session: $92
One Dad Program: $981</t>
  </si>
  <si>
    <t>APSMC currently has a total of 5 employees, and there are no vacancies at this time.</t>
  </si>
  <si>
    <t>A Positive Step of Monroe County is grateful for its partnership with Monroe County and looks forward to continued success.</t>
  </si>
  <si>
    <t>A Positive Step of Monroe County (APSMC) is requesting $125,000 in grant funding to support its Southernmost Fatherhood Initiative. These funds will allow APSMC to hire facilitators to deliver the evidence-based 24/7 Dad® and InsideOut Dad® curricula through 12 weekly 2-hour sessions for absentee fathers with minor children in Monroe County, Florida.
In addition to supporting these educational programs, the grant will fund outreach efforts to expand referral sources and increase participant recruitment. It will also provide continued education opportunities, including GED, CDL, and OSHA certification programs, along with career services and connections to community resources. These efforts are designed to improve economic stability and mobility for participants.
Furthermore, APSMC has partnered with AHF of Monroe County to help fathers in the program secure affordable housing. This collaboration will connect these individuals with essential resources and housing opportunities, ensuring they have a stable living environment in which they can thrive. Together, we aim to address both immediate housing needs and long-term stability for fathers who are committed to building better futures for themselves and their families.</t>
  </si>
  <si>
    <t>APSMC was recently awarded a three-year, $300,000 grant from the Department of Children and Families to enhance the Southernmost Fatherhood Initiative. This grant will fund expanded services for clients and additional staff to support the delivery of services and the overall program.</t>
  </si>
  <si>
    <t>Referrals are received through self-referral, as well as from family, friends, schools, the court system, and local community agencies, including The Guidance Care Center, Womankind, Guardian Ad Litem, The Early Learning Coalition of Monroe, the Department of Corrections, Wesley House, the Florida Department of Children and Families, and the Domestic Abuse Shelter of the Florida Keys.</t>
  </si>
  <si>
    <t>The target population consists of fathers aged 16 and older in Monroe County, Florida (the Florida Keys), who have at least one minor child. This includes incarcerated fathers, as well as those on work release, probation, or parole. If funded at the requested amount, APSMC will serve a minimum of 40 clients annually, with a total of 120 participants over 30 months. It is projected that 40 fathers from the general population of Monroe County and 80 fathers who are incarcerated at the Monroe County Sheriff's Office Stock Island Detention Center or being released from the Florida Department of Corrections will be served.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</si>
</sst>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Questions&quot;"/>
    <numFmt numFmtId="165" formatCode="0\ &quot;pts&quot;"/>
    <numFmt numFmtId="166" formatCode="0.00%\ &quot;Complete&quot;"/>
    <numFmt numFmtId="167" formatCode="&quot;The comment must be left blank for this response&quot;"/>
  </numFmts>
  <fonts count="7" x14ac:knownFonts="1">
    <font>
      <sz val="12"/>
      <color rgb="FF000000"/>
      <name val="Arial"/>
    </font>
    <font>
      <b/>
      <sz val="22"/>
      <color rgb="FF404040"/>
      <name val="Arial"/>
      <family val="2"/>
    </font>
    <font>
      <b/>
      <sz val="12"/>
      <color rgb="FFFFFFFF"/>
      <name val="Arial"/>
      <family val="2"/>
    </font>
    <font>
      <b/>
      <sz val="14"/>
      <color rgb="FFFFFFFF"/>
      <name val="Arial"/>
      <family val="2"/>
    </font>
    <font>
      <sz val="12"/>
      <color rgb="FFFFFFFF"/>
      <name val="Arial"/>
      <family val="2"/>
    </font>
    <font>
      <sz val="12"/>
      <color rgb="FF000000"/>
      <name val="Arial"/>
      <family val="2"/>
    </font>
    <font>
      <sz val="10"/>
      <color rgb="FF000000"/>
      <name val="Times New Roman"/>
      <family val="1"/>
    </font>
  </fonts>
  <fills count="7">
    <fill>
      <patternFill patternType="none"/>
    </fill>
    <fill>
      <patternFill patternType="gray125"/>
    </fill>
    <fill>
      <patternFill patternType="solid">
        <fgColor rgb="FFFFFFFF"/>
        <bgColor rgb="FF000000"/>
      </patternFill>
    </fill>
    <fill>
      <patternFill patternType="solid">
        <fgColor rgb="FFF2F2F2"/>
        <bgColor rgb="FF000000"/>
      </patternFill>
    </fill>
    <fill>
      <patternFill patternType="solid">
        <fgColor rgb="FF5FADCF"/>
        <bgColor rgb="FF000000"/>
      </patternFill>
    </fill>
    <fill>
      <patternFill patternType="solid">
        <fgColor rgb="FF548BA1"/>
        <bgColor rgb="FF000000"/>
      </patternFill>
    </fill>
    <fill>
      <patternFill patternType="solid">
        <fgColor rgb="FF7F7F7F"/>
        <bgColor rgb="FF000000"/>
      </patternFill>
    </fill>
  </fills>
  <borders count="25">
    <border>
      <left/>
      <right/>
      <top/>
      <bottom/>
      <diagonal/>
    </border>
    <border>
      <left style="thin">
        <color rgb="FFBFBFBF"/>
      </left>
      <right style="dotted">
        <color rgb="FFBFBFBF"/>
      </right>
      <top style="thin">
        <color rgb="FFBFBFBF"/>
      </top>
      <bottom style="thin">
        <color rgb="FFBFBFBF"/>
      </bottom>
      <diagonal/>
    </border>
    <border>
      <left style="dotted">
        <color rgb="FFBFBFBF"/>
      </left>
      <right style="dotted">
        <color rgb="FFBFBFBF"/>
      </right>
      <top style="thin">
        <color rgb="FFBFBFBF"/>
      </top>
      <bottom style="thin">
        <color rgb="FFBFBFBF"/>
      </bottom>
      <diagonal/>
    </border>
    <border>
      <left style="dotted">
        <color rgb="FFBFBFBF"/>
      </left>
      <right style="thin">
        <color rgb="FFBFBFBF"/>
      </right>
      <top style="thin">
        <color rgb="FFBFBFBF"/>
      </top>
      <bottom style="thin">
        <color rgb="FFBFBFBF"/>
      </bottom>
      <diagonal/>
    </border>
    <border>
      <left/>
      <right style="dotted">
        <color rgb="FFBFBFBF"/>
      </right>
      <top/>
      <bottom/>
      <diagonal/>
    </border>
    <border>
      <left style="dotted">
        <color rgb="FFBFBFBF"/>
      </left>
      <right style="dotted">
        <color rgb="FFBFBFBF"/>
      </right>
      <top/>
      <bottom/>
      <diagonal/>
    </border>
    <border>
      <left style="dotted">
        <color rgb="FFBFBFBF"/>
      </left>
      <right/>
      <top/>
      <bottom/>
      <diagonal/>
    </border>
    <border>
      <left/>
      <right/>
      <top style="medium">
        <color rgb="FFBFBFBF"/>
      </top>
      <bottom/>
      <diagonal/>
    </border>
    <border>
      <left style="dotted">
        <color rgb="FFBFBFBF"/>
      </left>
      <right/>
      <top style="thin">
        <color rgb="FFBFBFBF"/>
      </top>
      <bottom/>
      <diagonal/>
    </border>
    <border>
      <left style="dotted">
        <color rgb="FFBFBFBF"/>
      </left>
      <right/>
      <top/>
      <bottom/>
      <diagonal/>
    </border>
    <border>
      <left style="dotted">
        <color rgb="FFBFBFBF"/>
      </left>
      <right/>
      <top/>
      <bottom style="thin">
        <color rgb="FFBFBFBF"/>
      </bottom>
      <diagonal/>
    </border>
    <border>
      <left/>
      <right/>
      <top style="thin">
        <color rgb="FFBFBFBF"/>
      </top>
      <bottom/>
      <diagonal/>
    </border>
    <border>
      <left/>
      <right/>
      <top/>
      <bottom style="thin">
        <color rgb="FFBFBFBF"/>
      </bottom>
      <diagonal/>
    </border>
    <border>
      <left/>
      <right style="dotted">
        <color rgb="FFBFBFBF"/>
      </right>
      <top style="thin">
        <color rgb="FFBFBFBF"/>
      </top>
      <bottom/>
      <diagonal/>
    </border>
    <border>
      <left/>
      <right style="dotted">
        <color rgb="FFBFBFBF"/>
      </right>
      <top/>
      <bottom/>
      <diagonal/>
    </border>
    <border>
      <left/>
      <right style="dotted">
        <color rgb="FFBFBFBF"/>
      </right>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dotted">
        <color rgb="FFBFBFBF"/>
      </right>
      <top style="medium">
        <color rgb="FFBFBFBF"/>
      </top>
      <bottom style="thin">
        <color rgb="FFBFBFBF"/>
      </bottom>
      <diagonal/>
    </border>
    <border>
      <left style="dotted">
        <color rgb="FFBFBFBF"/>
      </left>
      <right style="dotted">
        <color rgb="FFBFBFBF"/>
      </right>
      <top style="medium">
        <color rgb="FFBFBFBF"/>
      </top>
      <bottom style="thin">
        <color rgb="FFBFBFBF"/>
      </bottom>
      <diagonal/>
    </border>
    <border>
      <left style="dotted">
        <color rgb="FFBFBFBF"/>
      </left>
      <right/>
      <top style="medium">
        <color rgb="FFBFBFBF"/>
      </top>
      <bottom/>
      <diagonal/>
    </border>
    <border>
      <left/>
      <right/>
      <top style="medium">
        <color rgb="FFBFBFBF"/>
      </top>
      <bottom/>
      <diagonal/>
    </border>
    <border>
      <left/>
      <right style="dotted">
        <color rgb="FFBFBFBF"/>
      </right>
      <top style="medium">
        <color rgb="FFBFBFBF"/>
      </top>
      <bottom/>
      <diagonal/>
    </border>
    <border>
      <left style="dotted">
        <color rgb="FFBFBFBF"/>
      </left>
      <right style="thin">
        <color rgb="FFBFBFBF"/>
      </right>
      <top style="medium">
        <color rgb="FFBFBFBF"/>
      </top>
      <bottom style="thin">
        <color rgb="FFBFBFBF"/>
      </bottom>
      <diagonal/>
    </border>
  </borders>
  <cellStyleXfs count="1">
    <xf numFmtId="0" fontId="0" fillId="0" borderId="0"/>
  </cellStyleXfs>
  <cellXfs count="62">
    <xf numFmtId="0" fontId="0" fillId="2" borderId="0" xfId="0" applyFill="1" applyProtection="1">
      <protection locked="0"/>
    </xf>
    <xf numFmtId="0" fontId="0" fillId="2" borderId="0" xfId="0" applyFill="1"/>
    <xf numFmtId="0" fontId="1" fillId="2" borderId="0" xfId="0" applyFont="1" applyFill="1" applyAlignment="1">
      <alignment horizontal="left"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2" fillId="4" borderId="0" xfId="0" applyFont="1" applyFill="1" applyAlignment="1">
      <alignment horizontal="center" vertical="center" wrapText="1"/>
    </xf>
    <xf numFmtId="0" fontId="2" fillId="5" borderId="0" xfId="0" applyFont="1" applyFill="1" applyAlignment="1">
      <alignment horizontal="center" vertical="center" wrapText="1"/>
    </xf>
    <xf numFmtId="49" fontId="0" fillId="3" borderId="2" xfId="0" applyNumberFormat="1" applyFill="1" applyBorder="1" applyAlignment="1" applyProtection="1">
      <alignment horizontal="center" vertical="center" wrapText="1"/>
      <protection locked="0"/>
    </xf>
    <xf numFmtId="49" fontId="0" fillId="3" borderId="3" xfId="0" applyNumberFormat="1" applyFill="1" applyBorder="1" applyAlignment="1" applyProtection="1">
      <alignment horizontal="left" vertical="center" wrapText="1" indent="1"/>
      <protection locked="0"/>
    </xf>
    <xf numFmtId="0" fontId="3" fillId="6" borderId="4" xfId="0" applyFont="1" applyFill="1" applyBorder="1" applyAlignment="1" applyProtection="1">
      <alignment horizontal="left" vertical="center" indent="1"/>
      <protection locked="0"/>
    </xf>
    <xf numFmtId="0" fontId="3" fillId="6" borderId="6" xfId="0" applyFont="1" applyFill="1" applyBorder="1" applyAlignment="1" applyProtection="1">
      <alignment horizontal="left" vertical="center" wrapText="1" indent="1"/>
      <protection locked="0"/>
    </xf>
    <xf numFmtId="0" fontId="3" fillId="4" borderId="7" xfId="0" applyFont="1" applyFill="1" applyBorder="1" applyAlignment="1">
      <alignment horizontal="center" vertical="center"/>
    </xf>
    <xf numFmtId="165" fontId="3" fillId="4" borderId="7" xfId="0" applyNumberFormat="1" applyFont="1" applyFill="1" applyBorder="1" applyAlignment="1">
      <alignment horizontal="center" vertical="center"/>
    </xf>
    <xf numFmtId="0" fontId="0" fillId="3" borderId="2" xfId="0" applyFill="1" applyBorder="1" applyAlignment="1">
      <alignment horizontal="left" vertical="center" wrapText="1" indent="1"/>
    </xf>
    <xf numFmtId="167" fontId="0" fillId="2" borderId="0" xfId="0" applyNumberFormat="1" applyFill="1" applyAlignment="1">
      <alignment vertical="center" wrapText="1" indent="1" shrinkToFit="1"/>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49" fontId="0" fillId="2" borderId="0" xfId="0" applyNumberFormat="1" applyFill="1"/>
    <xf numFmtId="0" fontId="3" fillId="4" borderId="21" xfId="0" applyFont="1" applyFill="1" applyBorder="1" applyAlignment="1">
      <alignment horizontal="center" vertical="center"/>
    </xf>
    <xf numFmtId="0" fontId="3" fillId="4" borderId="22" xfId="0" applyFont="1" applyFill="1" applyBorder="1" applyAlignment="1">
      <alignment horizontal="center" vertical="center"/>
    </xf>
    <xf numFmtId="0" fontId="3" fillId="4" borderId="23"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2" xfId="0" applyFont="1" applyFill="1" applyBorder="1" applyAlignment="1">
      <alignment horizontal="center" vertical="center"/>
    </xf>
    <xf numFmtId="0" fontId="3" fillId="4" borderId="15" xfId="0" applyFont="1" applyFill="1" applyBorder="1" applyAlignment="1">
      <alignment horizontal="center" vertical="center"/>
    </xf>
    <xf numFmtId="49" fontId="5" fillId="3" borderId="2" xfId="0" applyNumberFormat="1" applyFont="1" applyFill="1" applyBorder="1" applyAlignment="1" applyProtection="1">
      <alignment horizontal="center" vertical="center" wrapText="1"/>
      <protection locked="0"/>
    </xf>
    <xf numFmtId="49" fontId="6" fillId="3" borderId="2" xfId="0" applyNumberFormat="1" applyFont="1" applyFill="1" applyBorder="1" applyAlignment="1" applyProtection="1">
      <alignment horizontal="center" vertical="center" wrapText="1"/>
      <protection locked="0"/>
    </xf>
    <xf numFmtId="0" fontId="6" fillId="6" borderId="4" xfId="0" applyFont="1" applyFill="1" applyBorder="1" applyAlignment="1" applyProtection="1">
      <alignment horizontal="left" vertical="center" indent="1"/>
      <protection locked="0"/>
    </xf>
    <xf numFmtId="49" fontId="5" fillId="3" borderId="3" xfId="0" applyNumberFormat="1" applyFont="1" applyFill="1" applyBorder="1" applyAlignment="1" applyProtection="1">
      <alignment horizontal="left" vertical="center" wrapText="1" indent="1"/>
      <protection locked="0"/>
    </xf>
    <xf numFmtId="0" fontId="1" fillId="2" borderId="0" xfId="0" applyFont="1" applyFill="1" applyAlignment="1">
      <alignment horizontal="left" vertical="center" wrapText="1"/>
    </xf>
    <xf numFmtId="0" fontId="0" fillId="2" borderId="0" xfId="0" applyFill="1" applyProtection="1">
      <protection locked="0"/>
    </xf>
    <xf numFmtId="0" fontId="0" fillId="3" borderId="0" xfId="0" applyFill="1" applyAlignment="1">
      <alignment vertical="center" wrapText="1"/>
    </xf>
    <xf numFmtId="0" fontId="0" fillId="2" borderId="0" xfId="0" applyFill="1" applyAlignment="1">
      <alignment vertical="top" wrapText="1"/>
    </xf>
    <xf numFmtId="0" fontId="2" fillId="4" borderId="0" xfId="0" applyFont="1" applyFill="1" applyAlignment="1">
      <alignment horizontal="center" vertical="center" wrapText="1"/>
    </xf>
    <xf numFmtId="0" fontId="3" fillId="4" borderId="19"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20"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24" xfId="0" applyFont="1" applyFill="1" applyBorder="1" applyAlignment="1">
      <alignment horizontal="center" vertical="center"/>
    </xf>
    <xf numFmtId="0" fontId="3" fillId="4" borderId="3" xfId="0" applyFont="1" applyFill="1" applyBorder="1" applyAlignment="1">
      <alignment horizontal="center"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3" fillId="6" borderId="4" xfId="0" applyFont="1" applyFill="1" applyBorder="1" applyAlignment="1">
      <alignment horizontal="left" vertical="center" wrapText="1" indent="1"/>
    </xf>
    <xf numFmtId="0" fontId="3" fillId="6" borderId="5" xfId="0" applyFont="1" applyFill="1" applyBorder="1" applyAlignment="1">
      <alignment horizontal="left" vertical="center" wrapText="1" indent="1"/>
    </xf>
    <xf numFmtId="0" fontId="3" fillId="6" borderId="6" xfId="0" applyFont="1" applyFill="1" applyBorder="1" applyAlignment="1">
      <alignment horizontal="left" vertical="center" wrapText="1" indent="1"/>
    </xf>
    <xf numFmtId="164" fontId="3" fillId="4" borderId="7" xfId="0" applyNumberFormat="1" applyFont="1" applyFill="1" applyBorder="1" applyAlignment="1">
      <alignment horizontal="center" vertical="center"/>
    </xf>
    <xf numFmtId="0" fontId="3" fillId="4" borderId="7" xfId="0" applyFont="1" applyFill="1" applyBorder="1" applyAlignment="1">
      <alignment horizontal="center" vertical="center"/>
    </xf>
    <xf numFmtId="166" fontId="3" fillId="4" borderId="7" xfId="0" applyNumberFormat="1" applyFont="1" applyFill="1" applyBorder="1" applyAlignment="1">
      <alignment horizontal="center" vertical="center"/>
    </xf>
  </cellXfs>
  <cellStyles count="1">
    <cellStyle name="Normal" xfId="0" builtinId="0"/>
  </cellStyles>
  <dxfs count="20">
    <dxf>
      <font>
        <b/>
        <sz val="14"/>
        <color rgb="FFFFFFFF"/>
      </font>
      <fill>
        <patternFill patternType="solid">
          <fgColor rgb="FFFFFFFF"/>
          <bgColor rgb="FFFFFFFF"/>
        </patternFill>
      </fill>
    </dxf>
    <dxf>
      <font>
        <b/>
        <sz val="14"/>
        <color rgb="FFFFFFFF"/>
      </font>
      <fill>
        <patternFill patternType="solid">
          <fgColor rgb="FFFFFFFF"/>
          <bgColor rgb="FFFFFFFF"/>
        </patternFill>
      </fill>
    </dxf>
    <dxf>
      <font>
        <b/>
        <sz val="14"/>
        <color rgb="FFFFFFFF"/>
      </font>
      <fill>
        <patternFill patternType="solid">
          <fgColor rgb="FFFFFFFF"/>
          <bgColor rgb="FFFFFFFF"/>
        </patternFill>
      </fill>
    </dxf>
    <dxf>
      <font>
        <b/>
        <sz val="14"/>
        <color rgb="FFFFFFFF"/>
      </font>
      <fill>
        <patternFill patternType="solid">
          <fgColor rgb="FFFFFFFF"/>
          <bgColor rgb="FFFFFFFF"/>
        </patternFill>
      </fill>
    </dxf>
    <dxf>
      <font>
        <b/>
        <color rgb="FF9C0006"/>
      </font>
      <fill>
        <patternFill patternType="solid">
          <fgColor rgb="FFF7C6CE"/>
          <bgColor rgb="FFF7C6CE"/>
        </patternFill>
      </fill>
    </dxf>
    <dxf>
      <font>
        <color rgb="FFF7C6CE"/>
      </font>
      <fill>
        <patternFill patternType="solid">
          <fgColor rgb="FFF7C6CE"/>
          <bgColor rgb="FFF7C6CE"/>
        </patternFill>
      </fill>
    </dxf>
    <dxf>
      <font>
        <color rgb="FFC5EFCE"/>
      </font>
      <fill>
        <patternFill patternType="solid">
          <fgColor rgb="FFC5EFCE"/>
          <bgColor rgb="FFC5EFCE"/>
        </patternFill>
      </fill>
    </dxf>
    <dxf>
      <font>
        <b val="0"/>
        <color rgb="FF404040"/>
      </font>
      <fill>
        <patternFill patternType="solid">
          <fgColor rgb="FFC5EFCE"/>
          <bgColor rgb="FFC5EFCE"/>
        </patternFill>
      </fill>
      <alignment horizontal="left" vertical="center"/>
    </dxf>
    <dxf>
      <font>
        <b/>
        <color rgb="FF006100"/>
      </font>
      <fill>
        <patternFill patternType="solid">
          <fgColor rgb="FFC5EFCE"/>
          <bgColor rgb="FFC5EFCE"/>
        </patternFill>
      </fill>
    </dxf>
    <dxf>
      <font>
        <b/>
        <sz val="14"/>
        <color rgb="FFFFFFFF"/>
      </font>
      <fill>
        <patternFill patternType="solid">
          <fgColor rgb="FFFFFFFF"/>
          <bgColor rgb="FFFFFFFF"/>
        </patternFill>
      </fill>
    </dxf>
    <dxf>
      <font>
        <b/>
        <sz val="14"/>
        <color rgb="FFFFFFFF"/>
      </font>
      <fill>
        <patternFill patternType="solid">
          <fgColor rgb="FFFFFFFF"/>
          <bgColor rgb="FFFFFFFF"/>
        </patternFill>
      </fill>
    </dxf>
    <dxf>
      <fill>
        <patternFill patternType="solid">
          <fgColor rgb="FFFFFFFF"/>
          <bgColor rgb="FFFFFFFF"/>
        </patternFill>
      </fill>
    </dxf>
    <dxf>
      <font>
        <b/>
        <color rgb="FF9C0006"/>
      </font>
      <fill>
        <patternFill patternType="solid">
          <fgColor rgb="FFF7C6CE"/>
          <bgColor rgb="FFF7C6CE"/>
        </patternFill>
      </fill>
    </dxf>
    <dxf>
      <font>
        <b/>
        <color rgb="FF006100"/>
      </font>
      <fill>
        <patternFill patternType="solid">
          <fgColor rgb="FFC5EFCE"/>
          <bgColor rgb="FFC5EFCE"/>
        </patternFill>
      </fill>
    </dxf>
    <dxf>
      <font>
        <color rgb="FFFFFFFF"/>
      </font>
      <fill>
        <patternFill patternType="solid">
          <fgColor rgb="FFFFFFFF"/>
          <bgColor rgb="FFFFFFFF"/>
        </patternFill>
      </fill>
    </dxf>
    <dxf>
      <font>
        <b/>
        <color rgb="FFC5EFCE"/>
      </font>
      <fill>
        <patternFill patternType="solid">
          <fgColor rgb="FFC5EFCE"/>
          <bgColor rgb="FFC5EFCE"/>
        </patternFill>
      </fill>
    </dxf>
    <dxf>
      <font>
        <color rgb="FFFFFFFF"/>
      </font>
      <fill>
        <patternFill patternType="solid">
          <fgColor rgb="FFFFFFFF"/>
          <bgColor rgb="FFFFFFFF"/>
        </patternFill>
      </fill>
    </dxf>
    <dxf>
      <font>
        <b/>
        <color rgb="FFC5EFCE"/>
      </font>
      <fill>
        <patternFill patternType="solid">
          <fgColor rgb="FFC5EFCE"/>
          <bgColor rgb="FFC5EFCE"/>
        </patternFill>
      </fill>
    </dxf>
    <dxf>
      <numFmt numFmtId="14" formatCode="0.00%"/>
    </dxf>
    <dxf>
      <fill>
        <patternFill patternType="solid">
          <fgColor rgb="FFFFFFFF"/>
          <bgColor rgb="FFFFFFFF"/>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2695575" cy="733425"/>
    <xdr:pic>
      <xdr:nvPicPr>
        <xdr:cNvPr id="2" name="Monroe County, FL_Logo" descr="Monroe County, FL">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ZZ702"/>
  <sheetViews>
    <sheetView showRowColHeaders="0" topLeftCell="A5" workbookViewId="0">
      <selection activeCell="B16" sqref="B16:E16"/>
    </sheetView>
  </sheetViews>
  <sheetFormatPr baseColWidth="10" defaultColWidth="8.7109375" defaultRowHeight="16" x14ac:dyDescent="0.2"/>
  <cols>
    <col min="2" max="5" width="25" customWidth="1"/>
    <col min="702" max="702" width="9.140625" hidden="1"/>
  </cols>
  <sheetData>
    <row r="8" spans="2:5" ht="32" customHeight="1" x14ac:dyDescent="0.2">
      <c r="B8" s="42" t="s">
        <v>1</v>
      </c>
      <c r="C8" s="43"/>
      <c r="D8" s="43"/>
      <c r="E8" s="43"/>
    </row>
    <row r="10" spans="2:5" ht="28" x14ac:dyDescent="0.2">
      <c r="B10" s="2" t="s">
        <v>2</v>
      </c>
    </row>
    <row r="12" spans="2:5" ht="409.5" customHeight="1" x14ac:dyDescent="0.2">
      <c r="B12" s="44" t="s">
        <v>3</v>
      </c>
      <c r="C12" s="44"/>
      <c r="D12" s="44"/>
      <c r="E12" s="44"/>
    </row>
    <row r="14" spans="2:5" ht="28" x14ac:dyDescent="0.2">
      <c r="B14" s="2" t="s">
        <v>4</v>
      </c>
    </row>
    <row r="16" spans="2:5" ht="16" customHeight="1" x14ac:dyDescent="0.2">
      <c r="B16" s="45" t="s">
        <v>5</v>
      </c>
      <c r="C16" s="43"/>
      <c r="D16" s="43"/>
      <c r="E16" s="43"/>
    </row>
    <row r="702" spans="702:702" x14ac:dyDescent="0.2">
      <c r="ZZ702" s="1" t="s">
        <v>0</v>
      </c>
    </row>
  </sheetData>
  <sheetProtection password="E36C" sheet="1" objects="1" scenarios="1" insertHyperlinks="0"/>
  <mergeCells count="3">
    <mergeCell ref="B8:E8"/>
    <mergeCell ref="B12:E12"/>
    <mergeCell ref="B16:E16"/>
  </mergeCells>
  <pageMargins left="0.7" right="0.7" top="0.75" bottom="0.75" header="0.3" footer="0.3"/>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F16"/>
  <sheetViews>
    <sheetView showRowColHeaders="0" workbookViewId="0">
      <pane ySplit="10" topLeftCell="A11" activePane="bottomLeft" state="frozen"/>
      <selection pane="bottomLeft" activeCell="B11" sqref="B11:BF13"/>
    </sheetView>
  </sheetViews>
  <sheetFormatPr baseColWidth="10" defaultColWidth="8.7109375" defaultRowHeight="16" x14ac:dyDescent="0.2"/>
  <cols>
    <col min="2" max="3" width="20" customWidth="1"/>
    <col min="4" max="4" width="9.140625" hidden="1"/>
    <col min="5" max="5" width="20" customWidth="1"/>
    <col min="6" max="6" width="2" customWidth="1"/>
    <col min="7" max="56" width="1" customWidth="1"/>
    <col min="57" max="57" width="2" customWidth="1"/>
    <col min="58" max="58" width="20" customWidth="1"/>
  </cols>
  <sheetData>
    <row r="2" spans="2:58" hidden="1" x14ac:dyDescent="0.2"/>
    <row r="3" spans="2:58" hidden="1" x14ac:dyDescent="0.2"/>
    <row r="4" spans="2:58" hidden="1" x14ac:dyDescent="0.2"/>
    <row r="5" spans="2:58" hidden="1" x14ac:dyDescent="0.2"/>
    <row r="6" spans="2:58" hidden="1" x14ac:dyDescent="0.2"/>
    <row r="7" spans="2:58" hidden="1" x14ac:dyDescent="0.2"/>
    <row r="8" spans="2:58" ht="28" x14ac:dyDescent="0.2">
      <c r="B8" s="2" t="s">
        <v>7</v>
      </c>
    </row>
    <row r="10" spans="2:58" ht="32" customHeight="1" x14ac:dyDescent="0.2">
      <c r="B10" s="5" t="s">
        <v>8</v>
      </c>
      <c r="C10" s="5" t="s">
        <v>9</v>
      </c>
      <c r="D10" s="5" t="s">
        <v>10</v>
      </c>
      <c r="E10" s="5" t="s">
        <v>11</v>
      </c>
      <c r="F10" s="46" t="s">
        <v>12</v>
      </c>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5" t="s">
        <v>13</v>
      </c>
    </row>
    <row r="11" spans="2:58" x14ac:dyDescent="0.2">
      <c r="B11" s="53">
        <v>1</v>
      </c>
      <c r="C11" s="54">
        <f>'1'!C33</f>
        <v>19</v>
      </c>
      <c r="D11" s="54"/>
      <c r="E11" s="54">
        <f ca="1">'1'!F33</f>
        <v>1</v>
      </c>
      <c r="F11" s="15"/>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20"/>
      <c r="BF11" s="55" t="str">
        <f ca="1">IF(E11= 1, "Complete: no errors",IF(COUNTIF(INDIRECT("'"&amp;B11:B13&amp;"'!H11:H12"),"*"&amp;"response"&amp;"*"),"Errors present","No errors"))</f>
        <v>Complete: no errors</v>
      </c>
    </row>
    <row r="12" spans="2:58" x14ac:dyDescent="0.2">
      <c r="B12" s="53"/>
      <c r="C12" s="54"/>
      <c r="D12" s="54"/>
      <c r="E12" s="54"/>
      <c r="F12" s="16"/>
      <c r="G12" s="23" t="b">
        <f ca="1">E11 &gt;= 0.02</f>
        <v>1</v>
      </c>
      <c r="H12" s="24" t="b">
        <f ca="1">E11 &gt;= 0.04</f>
        <v>1</v>
      </c>
      <c r="I12" s="24" t="b">
        <f ca="1">E11 &gt;= 0.06</f>
        <v>1</v>
      </c>
      <c r="J12" s="24" t="b">
        <f ca="1">E11 &gt;= 0.08</f>
        <v>1</v>
      </c>
      <c r="K12" s="24" t="b">
        <f ca="1">E11 &gt;= 0.1</f>
        <v>1</v>
      </c>
      <c r="L12" s="24" t="b">
        <f ca="1">E11 &gt;= 0.12</f>
        <v>1</v>
      </c>
      <c r="M12" s="24" t="b">
        <f ca="1">E11 &gt;= 0.14</f>
        <v>1</v>
      </c>
      <c r="N12" s="24" t="b">
        <f ca="1">E11 &gt;= 0.16</f>
        <v>1</v>
      </c>
      <c r="O12" s="24" t="b">
        <f ca="1">E11 &gt;= 0.18</f>
        <v>1</v>
      </c>
      <c r="P12" s="24" t="b">
        <f ca="1">E11 &gt;= 0.2</f>
        <v>1</v>
      </c>
      <c r="Q12" s="24" t="b">
        <f ca="1">E11 &gt;= 0.22</f>
        <v>1</v>
      </c>
      <c r="R12" s="24" t="b">
        <f ca="1">E11 &gt;= 0.24</f>
        <v>1</v>
      </c>
      <c r="S12" s="24" t="b">
        <f ca="1">E11 &gt;= 0.26</f>
        <v>1</v>
      </c>
      <c r="T12" s="24" t="b">
        <f ca="1">E11 &gt;= 0.28</f>
        <v>1</v>
      </c>
      <c r="U12" s="24" t="b">
        <f ca="1">E11 &gt;= 0.3</f>
        <v>1</v>
      </c>
      <c r="V12" s="24" t="b">
        <f ca="1">E11 &gt;= 0.32</f>
        <v>1</v>
      </c>
      <c r="W12" s="24" t="b">
        <f ca="1">E11 &gt;= 0.34</f>
        <v>1</v>
      </c>
      <c r="X12" s="24" t="b">
        <f ca="1">E11 &gt;= 0.36</f>
        <v>1</v>
      </c>
      <c r="Y12" s="24" t="b">
        <f ca="1">E11 &gt;= 0.38</f>
        <v>1</v>
      </c>
      <c r="Z12" s="24" t="b">
        <f ca="1">E11 &gt;= 0.4</f>
        <v>1</v>
      </c>
      <c r="AA12" s="24" t="b">
        <f ca="1">E11 &gt;= 0.42</f>
        <v>1</v>
      </c>
      <c r="AB12" s="24" t="b">
        <f ca="1">E11 &gt;= 0.44</f>
        <v>1</v>
      </c>
      <c r="AC12" s="24" t="b">
        <f ca="1">E11 &gt;= 0.46</f>
        <v>1</v>
      </c>
      <c r="AD12" s="24" t="b">
        <f ca="1">E11 &gt;= 0.48</f>
        <v>1</v>
      </c>
      <c r="AE12" s="24" t="b">
        <f ca="1">E11 &gt;= 0.5</f>
        <v>1</v>
      </c>
      <c r="AF12" s="24" t="b">
        <f ca="1">E11 &gt;= 0.52</f>
        <v>1</v>
      </c>
      <c r="AG12" s="24" t="b">
        <f ca="1">E11 &gt;= 0.54</f>
        <v>1</v>
      </c>
      <c r="AH12" s="24" t="b">
        <f ca="1">E11 &gt;= 0.56</f>
        <v>1</v>
      </c>
      <c r="AI12" s="24" t="b">
        <f ca="1">E11 &gt;= 0.58</f>
        <v>1</v>
      </c>
      <c r="AJ12" s="24" t="b">
        <f ca="1">E11 &gt;= 0.6</f>
        <v>1</v>
      </c>
      <c r="AK12" s="24" t="b">
        <f ca="1">E11 &gt;= 0.62</f>
        <v>1</v>
      </c>
      <c r="AL12" s="24" t="b">
        <f ca="1">E11 &gt;= 0.64</f>
        <v>1</v>
      </c>
      <c r="AM12" s="24" t="b">
        <f ca="1">E11 &gt;= 0.66</f>
        <v>1</v>
      </c>
      <c r="AN12" s="24" t="b">
        <f ca="1">E11 &gt;= 0.68</f>
        <v>1</v>
      </c>
      <c r="AO12" s="24" t="b">
        <f ca="1">E11 &gt;= 0.7</f>
        <v>1</v>
      </c>
      <c r="AP12" s="24" t="b">
        <f ca="1">E11 &gt;= 0.72</f>
        <v>1</v>
      </c>
      <c r="AQ12" s="24" t="b">
        <f ca="1">E11 &gt;= 0.74</f>
        <v>1</v>
      </c>
      <c r="AR12" s="24" t="b">
        <f ca="1">E11 &gt;= 0.76</f>
        <v>1</v>
      </c>
      <c r="AS12" s="24" t="b">
        <f ca="1">E11 &gt;= 0.78</f>
        <v>1</v>
      </c>
      <c r="AT12" s="24" t="b">
        <f ca="1">E11 &gt;= 0.8</f>
        <v>1</v>
      </c>
      <c r="AU12" s="24" t="b">
        <f ca="1">E11 &gt;= 0.82</f>
        <v>1</v>
      </c>
      <c r="AV12" s="24" t="b">
        <f ca="1">E11 &gt;= 0.84</f>
        <v>1</v>
      </c>
      <c r="AW12" s="24" t="b">
        <f ca="1">E11 &gt;= 0.86</f>
        <v>1</v>
      </c>
      <c r="AX12" s="24" t="b">
        <f ca="1">E11 &gt;= 0.88</f>
        <v>1</v>
      </c>
      <c r="AY12" s="24" t="b">
        <f ca="1">E11 &gt;= 0.9</f>
        <v>1</v>
      </c>
      <c r="AZ12" s="24" t="b">
        <f ca="1">E11 &gt;= 0.92</f>
        <v>1</v>
      </c>
      <c r="BA12" s="24" t="b">
        <f ca="1">E11 &gt;= 0.94</f>
        <v>1</v>
      </c>
      <c r="BB12" s="24" t="b">
        <f ca="1">E11 &gt;= 0.96</f>
        <v>1</v>
      </c>
      <c r="BC12" s="24" t="b">
        <f ca="1">E11 &gt;= 0.98</f>
        <v>1</v>
      </c>
      <c r="BD12" s="25" t="b">
        <f ca="1">E11 &gt;= 1</f>
        <v>1</v>
      </c>
      <c r="BE12" s="21"/>
      <c r="BF12" s="55"/>
    </row>
    <row r="13" spans="2:58" x14ac:dyDescent="0.2">
      <c r="B13" s="53"/>
      <c r="C13" s="54"/>
      <c r="D13" s="54"/>
      <c r="E13" s="54"/>
      <c r="F13" s="17"/>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22"/>
      <c r="BF13" s="55"/>
    </row>
    <row r="14" spans="2:58" ht="18" x14ac:dyDescent="0.2">
      <c r="B14" s="47" t="s">
        <v>6</v>
      </c>
      <c r="C14" s="49">
        <f>SUM(C11:C13)</f>
        <v>19</v>
      </c>
      <c r="D14" s="49"/>
      <c r="E14" s="49">
        <f ca="1">IF($C$14=0,1,SUMPRODUCT(C11:C13, E11:E13) / $C$14)</f>
        <v>1</v>
      </c>
      <c r="F14" s="27"/>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9"/>
      <c r="BF14" s="51"/>
    </row>
    <row r="15" spans="2:58" ht="18" x14ac:dyDescent="0.2">
      <c r="B15" s="48"/>
      <c r="C15" s="50"/>
      <c r="D15" s="50"/>
      <c r="E15" s="50"/>
      <c r="F15" s="30"/>
      <c r="G15" s="31" t="b">
        <f ca="1">E14 &gt;= 0.02</f>
        <v>1</v>
      </c>
      <c r="H15" s="32" t="b">
        <f ca="1">E14 &gt;= 0.04</f>
        <v>1</v>
      </c>
      <c r="I15" s="32" t="b">
        <f ca="1">E14 &gt;= 0.06</f>
        <v>1</v>
      </c>
      <c r="J15" s="32" t="b">
        <f ca="1">E14 &gt;= 0.08</f>
        <v>1</v>
      </c>
      <c r="K15" s="32" t="b">
        <f ca="1">E14 &gt;= 0.1</f>
        <v>1</v>
      </c>
      <c r="L15" s="32" t="b">
        <f ca="1">E14 &gt;= 0.12</f>
        <v>1</v>
      </c>
      <c r="M15" s="32" t="b">
        <f ca="1">E14 &gt;= 0.14</f>
        <v>1</v>
      </c>
      <c r="N15" s="32" t="b">
        <f ca="1">E14 &gt;= 0.16</f>
        <v>1</v>
      </c>
      <c r="O15" s="32" t="b">
        <f ca="1">E14 &gt;= 0.18</f>
        <v>1</v>
      </c>
      <c r="P15" s="32" t="b">
        <f ca="1">E14 &gt;= 0.2</f>
        <v>1</v>
      </c>
      <c r="Q15" s="32" t="b">
        <f ca="1">E14 &gt;= 0.22</f>
        <v>1</v>
      </c>
      <c r="R15" s="32" t="b">
        <f ca="1">E14 &gt;= 0.24</f>
        <v>1</v>
      </c>
      <c r="S15" s="32" t="b">
        <f ca="1">E14 &gt;= 0.26</f>
        <v>1</v>
      </c>
      <c r="T15" s="32" t="b">
        <f ca="1">E14 &gt;= 0.28</f>
        <v>1</v>
      </c>
      <c r="U15" s="32" t="b">
        <f ca="1">E14 &gt;= 0.3</f>
        <v>1</v>
      </c>
      <c r="V15" s="32" t="b">
        <f ca="1">E14 &gt;= 0.32</f>
        <v>1</v>
      </c>
      <c r="W15" s="32" t="b">
        <f ca="1">E14 &gt;= 0.34</f>
        <v>1</v>
      </c>
      <c r="X15" s="32" t="b">
        <f ca="1">E14 &gt;= 0.36</f>
        <v>1</v>
      </c>
      <c r="Y15" s="32" t="b">
        <f ca="1">E14 &gt;= 0.38</f>
        <v>1</v>
      </c>
      <c r="Z15" s="32" t="b">
        <f ca="1">E14 &gt;= 0.4</f>
        <v>1</v>
      </c>
      <c r="AA15" s="32" t="b">
        <f ca="1">E14 &gt;= 0.42</f>
        <v>1</v>
      </c>
      <c r="AB15" s="32" t="b">
        <f ca="1">E14 &gt;= 0.44</f>
        <v>1</v>
      </c>
      <c r="AC15" s="32" t="b">
        <f ca="1">E14 &gt;= 0.46</f>
        <v>1</v>
      </c>
      <c r="AD15" s="32" t="b">
        <f ca="1">E14 &gt;= 0.48</f>
        <v>1</v>
      </c>
      <c r="AE15" s="32" t="b">
        <f ca="1">E14 &gt;= 0.5</f>
        <v>1</v>
      </c>
      <c r="AF15" s="32" t="b">
        <f ca="1">E14 &gt;= 0.52</f>
        <v>1</v>
      </c>
      <c r="AG15" s="32" t="b">
        <f ca="1">E14 &gt;= 0.54</f>
        <v>1</v>
      </c>
      <c r="AH15" s="32" t="b">
        <f ca="1">E14 &gt;= 0.56</f>
        <v>1</v>
      </c>
      <c r="AI15" s="32" t="b">
        <f ca="1">E14 &gt;= 0.58</f>
        <v>1</v>
      </c>
      <c r="AJ15" s="32" t="b">
        <f ca="1">E14 &gt;= 0.6</f>
        <v>1</v>
      </c>
      <c r="AK15" s="32" t="b">
        <f ca="1">E14 &gt;= 0.62</f>
        <v>1</v>
      </c>
      <c r="AL15" s="32" t="b">
        <f ca="1">E14 &gt;= 0.64</f>
        <v>1</v>
      </c>
      <c r="AM15" s="32" t="b">
        <f ca="1">E14 &gt;= 0.66</f>
        <v>1</v>
      </c>
      <c r="AN15" s="32" t="b">
        <f ca="1">E14 &gt;= 0.68</f>
        <v>1</v>
      </c>
      <c r="AO15" s="32" t="b">
        <f ca="1">E14 &gt;= 0.7</f>
        <v>1</v>
      </c>
      <c r="AP15" s="32" t="b">
        <f ca="1">E14 &gt;= 0.72</f>
        <v>1</v>
      </c>
      <c r="AQ15" s="32" t="b">
        <f ca="1">E14 &gt;= 0.74</f>
        <v>1</v>
      </c>
      <c r="AR15" s="32" t="b">
        <f ca="1">E14 &gt;= 0.76</f>
        <v>1</v>
      </c>
      <c r="AS15" s="32" t="b">
        <f ca="1">E14 &gt;= 0.78</f>
        <v>1</v>
      </c>
      <c r="AT15" s="32" t="b">
        <f ca="1">E14 &gt;= 0.8</f>
        <v>1</v>
      </c>
      <c r="AU15" s="32" t="b">
        <f ca="1">E14 &gt;= 0.82</f>
        <v>1</v>
      </c>
      <c r="AV15" s="32" t="b">
        <f ca="1">E14 &gt;= 0.84</f>
        <v>1</v>
      </c>
      <c r="AW15" s="32" t="b">
        <f ca="1">E14 &gt;= 0.86</f>
        <v>1</v>
      </c>
      <c r="AX15" s="32" t="b">
        <f ca="1">E14 &gt;= 0.88</f>
        <v>1</v>
      </c>
      <c r="AY15" s="32" t="b">
        <f ca="1">E14 &gt;= 0.9</f>
        <v>1</v>
      </c>
      <c r="AZ15" s="32" t="b">
        <f ca="1">E14 &gt;= 0.92</f>
        <v>1</v>
      </c>
      <c r="BA15" s="32" t="b">
        <f ca="1">E14 &gt;= 0.94</f>
        <v>1</v>
      </c>
      <c r="BB15" s="32" t="b">
        <f ca="1">E14 &gt;= 0.96</f>
        <v>1</v>
      </c>
      <c r="BC15" s="32" t="b">
        <f ca="1">E14 &gt;= 0.98</f>
        <v>1</v>
      </c>
      <c r="BD15" s="33" t="b">
        <f ca="1">E14 &gt;= 1</f>
        <v>1</v>
      </c>
      <c r="BE15" s="34"/>
      <c r="BF15" s="52"/>
    </row>
    <row r="16" spans="2:58" ht="18" x14ac:dyDescent="0.2">
      <c r="B16" s="48"/>
      <c r="C16" s="50"/>
      <c r="D16" s="50"/>
      <c r="E16" s="50"/>
      <c r="F16" s="35"/>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7"/>
      <c r="BF16" s="52"/>
    </row>
  </sheetData>
  <sheetProtection password="E36C" sheet="1" objects="1" scenarios="1" insertHyperlinks="0"/>
  <mergeCells count="11">
    <mergeCell ref="BF14:BF16"/>
    <mergeCell ref="B11:B13"/>
    <mergeCell ref="C11:C13"/>
    <mergeCell ref="D11:D13"/>
    <mergeCell ref="E11:E13"/>
    <mergeCell ref="BF11:BF13"/>
    <mergeCell ref="F10:BE10"/>
    <mergeCell ref="B14:B16"/>
    <mergeCell ref="C14:C16"/>
    <mergeCell ref="D14:D16"/>
    <mergeCell ref="E14:E16"/>
  </mergeCells>
  <conditionalFormatting sqref="B11:BF13">
    <cfRule type="expression" dxfId="19" priority="8">
      <formula>OR(IF(ISNUMBER($B11),MOD($B11,2)=1,FALSE),IF(ISNUMBER($B10),MOD($B10,2)=1,FALSE),IF(ISNUMBER($B9),MOD($B9,2)=1,FALSE))</formula>
    </cfRule>
  </conditionalFormatting>
  <conditionalFormatting sqref="E11:E16">
    <cfRule type="expression" dxfId="18" priority="5">
      <formula>TRUE</formula>
    </cfRule>
  </conditionalFormatting>
  <conditionalFormatting sqref="G12:BD12">
    <cfRule type="expression" dxfId="17" priority="1">
      <formula>G$12</formula>
    </cfRule>
    <cfRule type="expression" dxfId="16" priority="2">
      <formula>NOT(G$12)</formula>
    </cfRule>
  </conditionalFormatting>
  <conditionalFormatting sqref="G15:BD15">
    <cfRule type="expression" dxfId="15" priority="3">
      <formula>G$15</formula>
    </cfRule>
    <cfRule type="expression" dxfId="14" priority="4">
      <formula>NOT(G$15)</formula>
    </cfRule>
  </conditionalFormatting>
  <conditionalFormatting sqref="BF11:BF13">
    <cfRule type="expression" dxfId="13" priority="6">
      <formula>$BF11 ="Complete: no errors"</formula>
    </cfRule>
    <cfRule type="expression" dxfId="12" priority="7">
      <formula>$BF11 = "Errors present"</formula>
    </cfRule>
  </conditionalFormatting>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33"/>
  <sheetViews>
    <sheetView showRowColHeaders="0" tabSelected="1" workbookViewId="0">
      <pane ySplit="10" topLeftCell="A20" activePane="bottomLeft" state="frozen"/>
      <selection pane="bottomLeft" activeCell="G21" sqref="G21"/>
    </sheetView>
  </sheetViews>
  <sheetFormatPr baseColWidth="10" defaultColWidth="8.7109375" defaultRowHeight="16" x14ac:dyDescent="0.2"/>
  <cols>
    <col min="2" max="2" width="9.140625" hidden="1"/>
    <col min="3" max="3" width="10" customWidth="1"/>
    <col min="4" max="4" width="66" customWidth="1"/>
    <col min="5" max="5" width="9.140625" hidden="1"/>
    <col min="6" max="6" width="25" customWidth="1"/>
    <col min="7" max="7" width="66" customWidth="1"/>
    <col min="8" max="8" width="40" customWidth="1"/>
    <col min="9" max="9" width="9.140625" hidden="1"/>
  </cols>
  <sheetData>
    <row r="2" spans="2:9" ht="28" x14ac:dyDescent="0.2">
      <c r="C2" s="2" t="s">
        <v>14</v>
      </c>
    </row>
    <row r="3" spans="2:9" hidden="1" x14ac:dyDescent="0.2"/>
    <row r="4" spans="2:9" hidden="1" x14ac:dyDescent="0.2"/>
    <row r="5" spans="2:9" hidden="1" x14ac:dyDescent="0.2"/>
    <row r="6" spans="2:9" hidden="1" x14ac:dyDescent="0.2"/>
    <row r="7" spans="2:9" hidden="1" x14ac:dyDescent="0.2"/>
    <row r="8" spans="2:9" hidden="1" x14ac:dyDescent="0.2"/>
    <row r="10" spans="2:9" ht="32" customHeight="1" x14ac:dyDescent="0.2">
      <c r="C10" s="5" t="s">
        <v>15</v>
      </c>
      <c r="D10" s="5" t="s">
        <v>16</v>
      </c>
      <c r="E10" s="5" t="s">
        <v>10</v>
      </c>
      <c r="F10" s="6" t="s">
        <v>17</v>
      </c>
      <c r="G10" s="6" t="s">
        <v>18</v>
      </c>
      <c r="H10" s="6" t="s">
        <v>19</v>
      </c>
      <c r="I10" t="s">
        <v>10</v>
      </c>
    </row>
    <row r="11" spans="2:9" ht="20" customHeight="1" x14ac:dyDescent="0.2">
      <c r="B11" s="1"/>
      <c r="C11" s="56" t="s">
        <v>20</v>
      </c>
      <c r="D11" s="57"/>
      <c r="E11" s="58"/>
      <c r="F11" s="9"/>
      <c r="G11" s="10"/>
      <c r="H11" s="14" t="str">
        <f>IF(AND(ISBLANK(F11),ISBLANK(G11)),"?", "Anything entered in this row will be ignored")</f>
        <v>?</v>
      </c>
      <c r="I11" s="1">
        <v>-1</v>
      </c>
    </row>
    <row r="12" spans="2:9" ht="323" x14ac:dyDescent="0.2">
      <c r="B12" s="1">
        <v>1257726</v>
      </c>
      <c r="C12" s="3" t="s">
        <v>21</v>
      </c>
      <c r="D12" s="13" t="s">
        <v>22</v>
      </c>
      <c r="E12" s="4"/>
      <c r="F12" s="7" t="s">
        <v>63</v>
      </c>
      <c r="G12" s="41" t="s">
        <v>88</v>
      </c>
      <c r="H12" s="14" t="str">
        <f ca="1">IF(AND(ISNA(MATCH(OFFSET($H12,0,-2)&amp;"",responseOption0,0)),NOT(TRIM(OFFSET($H12,0,-2)) = "")),"Response must be one of "&amp;INDEX(responseValidationRulesGroup0,4,1),IF(AND(IF(ISNA(INDEX(responseValidationRulesGroup0,MATCH(OFFSET($H12,0,-2)&amp;"",responseOption0,0),2)),FALSE,INDEX(responseValidationRulesGroup0,MATCH(OFFSET($H12,0,-2)&amp;"",responseOption0,0),2)),TRIM(OFFSET($H12,0,-1)) = ""),"A comment is required for this response",IF(IF(ISNA(INDEX(responseValidationRulesGroup0,MATCH(OFFSET($H12,0,-2)&amp;"",responseOption0,0),3)),FALSE,INDEX(responseValidationRulesGroup0,MATCH(OFFSET($H12,0,-2)&amp;"",responseOption0,0),3)),IF(TRIM(OFFSET($H12,0,-1)) = "","Complete","The comment must be left blank for this response"),IF(TRIM(OFFSET($H12,0,-2))="","Incomplete", "Complete"))))</f>
        <v>Complete</v>
      </c>
      <c r="I12" s="1">
        <v>1</v>
      </c>
    </row>
    <row r="13" spans="2:9" ht="51" x14ac:dyDescent="0.2">
      <c r="B13" s="1">
        <v>1257730</v>
      </c>
      <c r="C13" s="3" t="s">
        <v>23</v>
      </c>
      <c r="D13" s="13" t="s">
        <v>24</v>
      </c>
      <c r="E13" s="4"/>
      <c r="F13" s="38"/>
      <c r="G13" s="8" t="s">
        <v>78</v>
      </c>
      <c r="H13" s="14" t="str">
        <f ca="1">IF(AND(
            OR(OFFSET($H13,0,-2) = "-",OFFSET($H13,0,-2) = ""),OFFSET($H13,0,-1) = ""),"Incomplete","Complete")</f>
        <v>Complete</v>
      </c>
      <c r="I13" s="1">
        <v>0</v>
      </c>
    </row>
    <row r="14" spans="2:9" ht="238" x14ac:dyDescent="0.2">
      <c r="B14" s="1">
        <v>1257731</v>
      </c>
      <c r="C14" s="3" t="s">
        <v>25</v>
      </c>
      <c r="D14" s="13" t="s">
        <v>26</v>
      </c>
      <c r="E14" s="4"/>
      <c r="F14" s="7"/>
      <c r="G14" s="41" t="s">
        <v>80</v>
      </c>
      <c r="H14" s="14" t="str">
        <f ca="1">IF(AND(
            OR(OFFSET($H14,0,-2) = "-",OFFSET($H14,0,-2) = ""),OFFSET($H14,0,-1) = ""),"Incomplete","Complete")</f>
        <v>Complete</v>
      </c>
      <c r="I14" s="1">
        <v>1</v>
      </c>
    </row>
    <row r="15" spans="2:9" ht="51" x14ac:dyDescent="0.2">
      <c r="B15" s="1">
        <v>1254674</v>
      </c>
      <c r="C15" s="3" t="s">
        <v>27</v>
      </c>
      <c r="D15" s="13" t="s">
        <v>28</v>
      </c>
      <c r="E15" s="4"/>
      <c r="F15" s="38"/>
      <c r="G15" s="41" t="s">
        <v>81</v>
      </c>
      <c r="H15" s="14" t="str">
        <f ca="1">IF(AND(
            OR(OFFSET($H15,0,-2) = "-",OFFSET($H15,0,-2) = ""),OFFSET($H15,0,-1) = ""),"Incomplete","Complete")</f>
        <v>Complete</v>
      </c>
      <c r="I15" s="1">
        <v>0</v>
      </c>
    </row>
    <row r="16" spans="2:9" ht="20" customHeight="1" x14ac:dyDescent="0.2">
      <c r="B16" s="1"/>
      <c r="C16" s="56" t="s">
        <v>29</v>
      </c>
      <c r="D16" s="57"/>
      <c r="E16" s="58"/>
      <c r="F16" s="9" t="s">
        <v>79</v>
      </c>
      <c r="G16" s="10"/>
      <c r="H16" s="14" t="str">
        <f>IF(AND(ISBLANK(F16),ISBLANK(G16)),"?", "Anything entered in this row will be ignored")</f>
        <v>Anything entered in this row will be ignored</v>
      </c>
      <c r="I16" s="1">
        <v>-1</v>
      </c>
    </row>
    <row r="17" spans="2:9" ht="187" x14ac:dyDescent="0.2">
      <c r="B17" s="1">
        <v>1257715</v>
      </c>
      <c r="C17" s="3" t="s">
        <v>30</v>
      </c>
      <c r="D17" s="13" t="s">
        <v>31</v>
      </c>
      <c r="E17" s="4"/>
      <c r="F17" s="39"/>
      <c r="G17" s="41" t="s">
        <v>82</v>
      </c>
      <c r="H17" s="14" t="str">
        <f ca="1">IF(AND(
            OR(OFFSET($H17,0,-2) = "-",OFFSET($H17,0,-2) = ""),OFFSET($H17,0,-1) = ""),"Incomplete","Complete")</f>
        <v>Complete</v>
      </c>
      <c r="I17" s="1">
        <v>1</v>
      </c>
    </row>
    <row r="18" spans="2:9" ht="20" customHeight="1" x14ac:dyDescent="0.2">
      <c r="B18" s="1"/>
      <c r="C18" s="56" t="s">
        <v>32</v>
      </c>
      <c r="D18" s="57"/>
      <c r="E18" s="58"/>
      <c r="F18" s="40"/>
      <c r="G18" s="10"/>
      <c r="H18" s="14" t="str">
        <f>IF(AND(ISBLANK(F18),ISBLANK(G18)),"?", "Anything entered in this row will be ignored")</f>
        <v>?</v>
      </c>
      <c r="I18" s="1">
        <v>-1</v>
      </c>
    </row>
    <row r="19" spans="2:9" ht="51" x14ac:dyDescent="0.2">
      <c r="B19" s="1">
        <v>1257733</v>
      </c>
      <c r="C19" s="3" t="s">
        <v>33</v>
      </c>
      <c r="D19" s="13" t="s">
        <v>34</v>
      </c>
      <c r="E19" s="4"/>
      <c r="F19" s="7" t="s">
        <v>65</v>
      </c>
      <c r="G19" s="8"/>
      <c r="H19" s="14" t="str">
        <f ca="1">IF(AND(ISNA(MATCH(OFFSET($H19,0,-2)&amp;"",responseOption1,0)),NOT(TRIM(OFFSET($H19,0,-2)) = "")),"Response must be one of "&amp;INDEX(responseValidationRulesGroup1,3,1),IF(AND(IF(ISNA(INDEX(responseValidationRulesGroup1,MATCH(OFFSET($H19,0,-2)&amp;"",responseOption1,0),2)),FALSE,INDEX(responseValidationRulesGroup1,MATCH(OFFSET($H19,0,-2)&amp;"",responseOption1,0),2)),TRIM(OFFSET($H19,0,-1)) = ""),"A comment is required for this response",IF(IF(ISNA(INDEX(responseValidationRulesGroup1,MATCH(OFFSET($H19,0,-2)&amp;"",responseOption1,0),3)),FALSE,INDEX(responseValidationRulesGroup1,MATCH(OFFSET($H19,0,-2)&amp;"",responseOption1,0),3)),IF(TRIM(OFFSET($H19,0,-1)) = "","Complete","The comment must be left blank for this response"),IF(TRIM(OFFSET($H19,0,-2))="","Incomplete", "Complete"))))</f>
        <v>Complete</v>
      </c>
      <c r="I19" s="1">
        <v>1</v>
      </c>
    </row>
    <row r="20" spans="2:9" ht="51" customHeight="1" x14ac:dyDescent="0.2">
      <c r="B20" s="1">
        <v>1257734</v>
      </c>
      <c r="C20" s="3" t="s">
        <v>35</v>
      </c>
      <c r="D20" s="13" t="s">
        <v>36</v>
      </c>
      <c r="E20" s="4"/>
      <c r="F20" s="7" t="s">
        <v>66</v>
      </c>
      <c r="G20" s="8"/>
      <c r="H20" s="14" t="str">
        <f ca="1">IF(AND(ISNA(MATCH(OFFSET($H20,0,-2)&amp;"",responseOption1,0)),NOT(TRIM(OFFSET($H20,0,-2)) = "")),"Response must be one of "&amp;INDEX(responseValidationRulesGroup1,3,1),IF(AND(IF(ISNA(INDEX(responseValidationRulesGroup1,MATCH(OFFSET($H20,0,-2)&amp;"",responseOption1,0),2)),FALSE,INDEX(responseValidationRulesGroup1,MATCH(OFFSET($H20,0,-2)&amp;"",responseOption1,0),2)),TRIM(OFFSET($H20,0,-1)) = ""),"A comment is required for this response",IF(IF(ISNA(INDEX(responseValidationRulesGroup1,MATCH(OFFSET($H20,0,-2)&amp;"",responseOption1,0),3)),FALSE,INDEX(responseValidationRulesGroup1,MATCH(OFFSET($H20,0,-2)&amp;"",responseOption1,0),3)),IF(TRIM(OFFSET($H20,0,-1)) = "","Complete","The comment must be left blank for this response"),IF(TRIM(OFFSET($H20,0,-2))="","Incomplete", "Complete"))))</f>
        <v>Complete</v>
      </c>
      <c r="I20" s="1">
        <v>0</v>
      </c>
    </row>
    <row r="21" spans="2:9" ht="68" x14ac:dyDescent="0.2">
      <c r="B21" s="1">
        <v>1257738</v>
      </c>
      <c r="C21" s="3" t="s">
        <v>37</v>
      </c>
      <c r="D21" s="13" t="s">
        <v>38</v>
      </c>
      <c r="E21" s="4"/>
      <c r="F21" s="7" t="s">
        <v>68</v>
      </c>
      <c r="G21" s="41" t="s">
        <v>89</v>
      </c>
      <c r="H21" s="14" t="str">
        <f ca="1">IF(AND(ISNA(MATCH(OFFSET($H21,0,-2)&amp;"",responseOption2,0)),NOT(TRIM(OFFSET($H21,0,-2)) = "")),"Response must be one of "&amp;INDEX(responseValidationRulesGroup2,3,1),IF(AND(IF(ISNA(INDEX(responseValidationRulesGroup2,MATCH(OFFSET($H21,0,-2)&amp;"",responseOption2,0),2)),FALSE,INDEX(responseValidationRulesGroup2,MATCH(OFFSET($H21,0,-2)&amp;"",responseOption2,0),2)),TRIM(OFFSET($H21,0,-1)) = ""),"A comment is required for this response",IF(IF(ISNA(INDEX(responseValidationRulesGroup2,MATCH(OFFSET($H21,0,-2)&amp;"",responseOption2,0),3)),FALSE,INDEX(responseValidationRulesGroup2,MATCH(OFFSET($H21,0,-2)&amp;"",responseOption2,0),3)),IF(TRIM(OFFSET($H21,0,-1)) = "","Complete","The comment must be left blank for this response"),IF(TRIM(OFFSET($H21,0,-2))="","Incomplete", "Complete"))))</f>
        <v>Complete</v>
      </c>
      <c r="I21" s="1">
        <v>1</v>
      </c>
    </row>
    <row r="22" spans="2:9" ht="51" x14ac:dyDescent="0.2">
      <c r="B22" s="1">
        <v>1257740</v>
      </c>
      <c r="C22" s="3" t="s">
        <v>39</v>
      </c>
      <c r="D22" s="13" t="s">
        <v>40</v>
      </c>
      <c r="E22" s="4"/>
      <c r="F22" s="7" t="s">
        <v>66</v>
      </c>
      <c r="G22" s="8"/>
      <c r="H22" s="14" t="str">
        <f ca="1">IF(AND(ISNA(MATCH(OFFSET($H22,0,-2)&amp;"",responseOption3,0)),NOT(TRIM(OFFSET($H22,0,-2)) = "")),"Response must be one of "&amp;INDEX(responseValidationRulesGroup3,3,1),IF(AND(IF(ISNA(INDEX(responseValidationRulesGroup3,MATCH(OFFSET($H22,0,-2)&amp;"",responseOption3,0),2)),FALSE,INDEX(responseValidationRulesGroup3,MATCH(OFFSET($H22,0,-2)&amp;"",responseOption3,0),2)),TRIM(OFFSET($H22,0,-1)) = ""),"A comment is required for this response",IF(IF(ISNA(INDEX(responseValidationRulesGroup3,MATCH(OFFSET($H22,0,-2)&amp;"",responseOption3,0),3)),FALSE,INDEX(responseValidationRulesGroup3,MATCH(OFFSET($H22,0,-2)&amp;"",responseOption3,0),3)),IF(TRIM(OFFSET($H22,0,-1)) = "","Complete","The comment must be left blank for this response"),IF(TRIM(OFFSET($H22,0,-2))="","Incomplete", "Complete"))))</f>
        <v>Complete</v>
      </c>
      <c r="I22" s="1">
        <v>0</v>
      </c>
    </row>
    <row r="23" spans="2:9" ht="68" x14ac:dyDescent="0.2">
      <c r="B23" s="1">
        <v>1258124</v>
      </c>
      <c r="C23" s="3" t="s">
        <v>41</v>
      </c>
      <c r="D23" s="13" t="s">
        <v>42</v>
      </c>
      <c r="E23" s="4"/>
      <c r="F23" s="7" t="s">
        <v>66</v>
      </c>
      <c r="G23" s="8"/>
      <c r="H23" s="14" t="str">
        <f ca="1">IF(AND(ISNA(MATCH(OFFSET($H23,0,-2)&amp;"",responseOption4,0)),NOT(TRIM(OFFSET($H23,0,-2)) = "")),"Response must be one of "&amp;INDEX(responseValidationRulesGroup4,3,1),IF(AND(IF(ISNA(INDEX(responseValidationRulesGroup4,MATCH(OFFSET($H23,0,-2)&amp;"",responseOption4,0),2)),FALSE,INDEX(responseValidationRulesGroup4,MATCH(OFFSET($H23,0,-2)&amp;"",responseOption4,0),2)),TRIM(OFFSET($H23,0,-1)) = ""),"A comment is required for this response",IF(IF(ISNA(INDEX(responseValidationRulesGroup4,MATCH(OFFSET($H23,0,-2)&amp;"",responseOption4,0),3)),FALSE,INDEX(responseValidationRulesGroup4,MATCH(OFFSET($H23,0,-2)&amp;"",responseOption4,0),3)),IF(TRIM(OFFSET($H23,0,-1)) = "","Complete","The comment must be left blank for this response"),IF(TRIM(OFFSET($H23,0,-2))="","Incomplete", "Complete"))))</f>
        <v>Complete</v>
      </c>
      <c r="I23" s="1">
        <v>1</v>
      </c>
    </row>
    <row r="24" spans="2:9" ht="136" x14ac:dyDescent="0.2">
      <c r="B24" s="1">
        <v>1258128</v>
      </c>
      <c r="C24" s="3" t="s">
        <v>43</v>
      </c>
      <c r="D24" s="13" t="s">
        <v>44</v>
      </c>
      <c r="E24" s="4"/>
      <c r="F24" s="38"/>
      <c r="G24" s="41" t="s">
        <v>91</v>
      </c>
      <c r="H24" s="14" t="str">
        <f ca="1">IF(AND(
            OR(OFFSET($H24,0,-2) = "-",OFFSET($H24,0,-2) = ""),OFFSET($H24,0,-1) = ""),"Incomplete","Complete")</f>
        <v>Complete</v>
      </c>
      <c r="I24" s="1">
        <v>0</v>
      </c>
    </row>
    <row r="25" spans="2:9" ht="102" x14ac:dyDescent="0.2">
      <c r="B25" s="1">
        <v>1258129</v>
      </c>
      <c r="C25" s="3" t="s">
        <v>45</v>
      </c>
      <c r="D25" s="13" t="s">
        <v>46</v>
      </c>
      <c r="E25" s="4"/>
      <c r="F25" s="38"/>
      <c r="G25" s="41" t="s">
        <v>90</v>
      </c>
      <c r="H25" s="14" t="str">
        <f ca="1">IF(AND(
            OR(OFFSET($H25,0,-2) = "-",OFFSET($H25,0,-2) = ""),OFFSET($H25,0,-1) = ""),"Incomplete","Complete")</f>
        <v>Complete</v>
      </c>
      <c r="I25" s="1">
        <v>1</v>
      </c>
    </row>
    <row r="26" spans="2:9" ht="68" x14ac:dyDescent="0.2">
      <c r="B26" s="1">
        <v>1258132</v>
      </c>
      <c r="C26" s="3" t="s">
        <v>47</v>
      </c>
      <c r="D26" s="13" t="s">
        <v>48</v>
      </c>
      <c r="E26" s="4"/>
      <c r="F26" s="7" t="s">
        <v>66</v>
      </c>
      <c r="G26" s="8"/>
      <c r="H26" s="14" t="str">
        <f ca="1">IF(AND(ISNA(MATCH(OFFSET($H26,0,-2)&amp;"",responseOption5,0)),NOT(TRIM(OFFSET($H26,0,-2)) = "")),"Response must be one of "&amp;INDEX(responseValidationRulesGroup5,3,1),IF(AND(IF(ISNA(INDEX(responseValidationRulesGroup5,MATCH(OFFSET($H26,0,-2)&amp;"",responseOption5,0),2)),FALSE,INDEX(responseValidationRulesGroup5,MATCH(OFFSET($H26,0,-2)&amp;"",responseOption5,0),2)),TRIM(OFFSET($H26,0,-1)) = ""),"A comment is required for this response",IF(IF(ISNA(INDEX(responseValidationRulesGroup5,MATCH(OFFSET($H26,0,-2)&amp;"",responseOption5,0),3)),FALSE,INDEX(responseValidationRulesGroup5,MATCH(OFFSET($H26,0,-2)&amp;"",responseOption5,0),3)),IF(TRIM(OFFSET($H26,0,-1)) = "","Complete","The comment must be left blank for this response"),IF(TRIM(OFFSET($H26,0,-2))="","Incomplete", "Complete"))))</f>
        <v>Complete</v>
      </c>
      <c r="I26" s="1">
        <v>0</v>
      </c>
    </row>
    <row r="27" spans="2:9" ht="85" x14ac:dyDescent="0.2">
      <c r="B27" s="1">
        <v>1258137</v>
      </c>
      <c r="C27" s="3" t="s">
        <v>49</v>
      </c>
      <c r="D27" s="13" t="s">
        <v>50</v>
      </c>
      <c r="E27" s="4"/>
      <c r="F27" s="38"/>
      <c r="G27" s="41" t="s">
        <v>83</v>
      </c>
      <c r="H27" s="14" t="str">
        <f ca="1">IF(AND(
            OR(OFFSET($H27,0,-2) = "-",OFFSET($H27,0,-2) = ""),OFFSET($H27,0,-1) = ""),"Incomplete","Complete")</f>
        <v>Complete</v>
      </c>
      <c r="I27" s="1">
        <v>1</v>
      </c>
    </row>
    <row r="28" spans="2:9" ht="170" x14ac:dyDescent="0.2">
      <c r="B28" s="1">
        <v>1258139</v>
      </c>
      <c r="C28" s="3" t="s">
        <v>51</v>
      </c>
      <c r="D28" s="13" t="s">
        <v>52</v>
      </c>
      <c r="E28" s="4"/>
      <c r="F28" s="38"/>
      <c r="G28" s="41" t="s">
        <v>84</v>
      </c>
      <c r="H28" s="14" t="str">
        <f ca="1">IF(AND(
            OR(OFFSET($H28,0,-2) = "-",OFFSET($H28,0,-2) = ""),OFFSET($H28,0,-1) = ""),"Incomplete","Complete")</f>
        <v>Complete</v>
      </c>
      <c r="I28" s="1">
        <v>0</v>
      </c>
    </row>
    <row r="29" spans="2:9" ht="119" x14ac:dyDescent="0.2">
      <c r="B29" s="1">
        <v>1258141</v>
      </c>
      <c r="C29" s="3" t="s">
        <v>53</v>
      </c>
      <c r="D29" s="13" t="s">
        <v>54</v>
      </c>
      <c r="E29" s="4"/>
      <c r="F29" s="38"/>
      <c r="G29" s="41" t="s">
        <v>85</v>
      </c>
      <c r="H29" s="14" t="str">
        <f ca="1">IF(AND(
            OR(OFFSET($H29,0,-2) = "-",OFFSET($H29,0,-2) = ""),OFFSET($H29,0,-1) = ""),"Incomplete","Complete")</f>
        <v>Complete</v>
      </c>
      <c r="I29" s="1">
        <v>1</v>
      </c>
    </row>
    <row r="30" spans="2:9" ht="85" x14ac:dyDescent="0.2">
      <c r="B30" s="1">
        <v>1363343</v>
      </c>
      <c r="C30" s="3" t="s">
        <v>55</v>
      </c>
      <c r="D30" s="13" t="s">
        <v>56</v>
      </c>
      <c r="E30" s="4"/>
      <c r="F30" s="38"/>
      <c r="G30" s="41" t="s">
        <v>86</v>
      </c>
      <c r="H30" s="14" t="str">
        <f ca="1">IF(AND(
            OR(OFFSET($H30,0,-2) = "-",OFFSET($H30,0,-2) = ""),OFFSET($H30,0,-1) = ""),"Incomplete","Complete")</f>
        <v>Complete</v>
      </c>
      <c r="I30" s="1">
        <v>0</v>
      </c>
    </row>
    <row r="31" spans="2:9" ht="51" x14ac:dyDescent="0.2">
      <c r="B31" s="1">
        <v>1363448</v>
      </c>
      <c r="C31" s="3" t="s">
        <v>57</v>
      </c>
      <c r="D31" s="13" t="s">
        <v>58</v>
      </c>
      <c r="E31" s="4"/>
      <c r="F31" s="7" t="s">
        <v>65</v>
      </c>
      <c r="G31" s="8"/>
      <c r="H31" s="14" t="str">
        <f ca="1">IF(AND(ISNA(MATCH(OFFSET($H31,0,-2)&amp;"",responseOption6,0)),NOT(TRIM(OFFSET($H31,0,-2)) = "")),"Response must be one of "&amp;INDEX(responseValidationRulesGroup6,3,1),IF(AND(IF(ISNA(INDEX(responseValidationRulesGroup6,MATCH(OFFSET($H31,0,-2)&amp;"",responseOption6,0),2)),FALSE,INDEX(responseValidationRulesGroup6,MATCH(OFFSET($H31,0,-2)&amp;"",responseOption6,0),2)),TRIM(OFFSET($H31,0,-1)) = ""),"A comment is required for this response",IF(IF(ISNA(INDEX(responseValidationRulesGroup6,MATCH(OFFSET($H31,0,-2)&amp;"",responseOption6,0),3)),FALSE,INDEX(responseValidationRulesGroup6,MATCH(OFFSET($H31,0,-2)&amp;"",responseOption6,0),3)),IF(TRIM(OFFSET($H31,0,-1)) = "","Complete","The comment must be left blank for this response"),IF(TRIM(OFFSET($H31,0,-2))="","Incomplete", "Complete"))))</f>
        <v>Complete</v>
      </c>
      <c r="I31" s="1">
        <v>1</v>
      </c>
    </row>
    <row r="32" spans="2:9" ht="86" thickBot="1" x14ac:dyDescent="0.25">
      <c r="B32" s="1">
        <v>1258142</v>
      </c>
      <c r="C32" s="3" t="s">
        <v>59</v>
      </c>
      <c r="D32" s="13" t="s">
        <v>60</v>
      </c>
      <c r="E32" s="4"/>
      <c r="F32" s="38"/>
      <c r="G32" s="41" t="s">
        <v>87</v>
      </c>
      <c r="H32" s="14" t="str">
        <f ca="1">IF(AND(
            OR(OFFSET($H32,0,-2) = "-",OFFSET($H32,0,-2) = ""),OFFSET($H32,0,-1) = ""),"Incomplete","Complete")</f>
        <v>Complete</v>
      </c>
      <c r="I32" s="1">
        <v>0</v>
      </c>
    </row>
    <row r="33" spans="2:8" ht="27" customHeight="1" x14ac:dyDescent="0.2">
      <c r="B33">
        <v>-1</v>
      </c>
      <c r="C33" s="59">
        <f>COUNTIF(I11:I32,"&lt;&gt;-1")</f>
        <v>19</v>
      </c>
      <c r="D33" s="60"/>
      <c r="E33" s="12"/>
      <c r="F33" s="61">
        <f ca="1">IF(C33=0,1,(COUNTIF(H11:H32,TRUE)+COUNTIF(H11:H32,"Complete")) / (C33))</f>
        <v>1</v>
      </c>
      <c r="G33" s="60"/>
      <c r="H33" s="11"/>
    </row>
  </sheetData>
  <sheetProtection password="E36C" sheet="1" objects="1" scenarios="1" insertHyperlinks="0"/>
  <mergeCells count="5">
    <mergeCell ref="C11:E11"/>
    <mergeCell ref="C16:E16"/>
    <mergeCell ref="C18:E18"/>
    <mergeCell ref="C33:D33"/>
    <mergeCell ref="F33:G33"/>
  </mergeCells>
  <conditionalFormatting sqref="C11:G32">
    <cfRule type="expression" dxfId="11" priority="4">
      <formula>$I11=1</formula>
    </cfRule>
  </conditionalFormatting>
  <conditionalFormatting sqref="H11">
    <cfRule type="containsText" dxfId="10" priority="1" operator="containsText" text="~?">
      <formula>NOT(ISERROR(SEARCH("~?",H11)))</formula>
    </cfRule>
    <cfRule type="expression" dxfId="9" priority="5">
      <formula>$H11=""</formula>
    </cfRule>
  </conditionalFormatting>
  <conditionalFormatting sqref="H11:H32">
    <cfRule type="expression" dxfId="8" priority="8">
      <formula>$H11 ="Complete"</formula>
    </cfRule>
    <cfRule type="expression" dxfId="7" priority="9">
      <formula>$H11=1</formula>
    </cfRule>
    <cfRule type="expression" dxfId="6" priority="10">
      <formula>$H11</formula>
    </cfRule>
    <cfRule type="expression" dxfId="5" priority="11">
      <formula>AND(NOT(ISBLANK($H11)), NOT($H11))</formula>
    </cfRule>
    <cfRule type="expression" dxfId="4" priority="12">
      <formula>NOT(ISBLANK($H11))</formula>
    </cfRule>
  </conditionalFormatting>
  <conditionalFormatting sqref="H16">
    <cfRule type="containsText" dxfId="3" priority="2" operator="containsText" text="~?">
      <formula>NOT(ISERROR(SEARCH("~?",H16)))</formula>
    </cfRule>
    <cfRule type="expression" dxfId="2" priority="6">
      <formula>$H16=""</formula>
    </cfRule>
  </conditionalFormatting>
  <conditionalFormatting sqref="H18">
    <cfRule type="containsText" dxfId="1" priority="3" operator="containsText" text="~?">
      <formula>NOT(ISERROR(SEARCH("~?",H18)))</formula>
    </cfRule>
    <cfRule type="expression" dxfId="0" priority="7">
      <formula>$H18=""</formula>
    </cfRule>
  </conditionalFormatting>
  <dataValidations count="7">
    <dataValidation type="list" showErrorMessage="1" errorTitle="Error - Invalid Input" error="Please select an item from the drop-down list." sqref="F19:F20" xr:uid="{00000000-0002-0000-0200-000000000000}">
      <formula1>"Yes,No"</formula1>
    </dataValidation>
    <dataValidation type="list" showErrorMessage="1" errorTitle="Error - Invalid Input" error="Please select an item from the drop-down list." sqref="F26" xr:uid="{00000000-0002-0000-0200-000001000000}">
      <formula1>"Yes - Please explain why you failed to meet the deadline,No"</formula1>
    </dataValidation>
    <dataValidation type="list" showErrorMessage="1" errorTitle="Error - Invalid Input" error="Please select an item from the drop-down list." sqref="F21" xr:uid="{00000000-0002-0000-0200-000002000000}">
      <formula1>"Yes; what changed?,No"</formula1>
    </dataValidation>
    <dataValidation type="list" showErrorMessage="1" errorTitle="Error - Invalid Input" error="Please select an item from the drop-down list." sqref="F31" xr:uid="{00000000-0002-0000-0200-000003000000}">
      <formula1>"Yes,No - What positions are open &amp; why? How does this impact your services?"</formula1>
    </dataValidation>
    <dataValidation type="list" showErrorMessage="1" errorTitle="Error - Invalid Input" error="Please select an item from the drop-down list." sqref="F22" xr:uid="{00000000-0002-0000-0200-000004000000}">
      <formula1>"Yes; How much? From what source? Why was funding lost?,No"</formula1>
    </dataValidation>
    <dataValidation type="list" showErrorMessage="1" errorTitle="Error - Invalid Input" error="Please select an item from the drop-down list." sqref="F23" xr:uid="{00000000-0002-0000-0200-000005000000}">
      <formula1>"Yes - Please list source(s) and amount(s).,No"</formula1>
    </dataValidation>
    <dataValidation type="list" showErrorMessage="1" errorTitle="Error - Invalid Input" error="Please select an item from the drop-down list." sqref="F12" xr:uid="{00000000-0002-0000-0200-000006000000}">
      <formula1>"Medical Services,Core Social Services,Quality of Life Improvement Services"</formula1>
    </dataValidation>
  </dataValidation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
  <sheetViews>
    <sheetView workbookViewId="0">
      <selection sqref="A1:U4"/>
    </sheetView>
  </sheetViews>
  <sheetFormatPr baseColWidth="10" defaultColWidth="8.7109375" defaultRowHeight="16" x14ac:dyDescent="0.2"/>
  <sheetData>
    <row r="1" spans="1:21" x14ac:dyDescent="0.2">
      <c r="A1" s="26" t="s">
        <v>61</v>
      </c>
      <c r="B1" s="1" t="b">
        <f>FALSE()</f>
        <v>0</v>
      </c>
      <c r="C1" s="1" t="b">
        <f>FALSE()</f>
        <v>0</v>
      </c>
      <c r="D1" s="26" t="s">
        <v>65</v>
      </c>
      <c r="E1" s="1" t="b">
        <f>FALSE()</f>
        <v>0</v>
      </c>
      <c r="F1" s="1" t="b">
        <f>TRUE()</f>
        <v>1</v>
      </c>
      <c r="G1" s="26" t="s">
        <v>68</v>
      </c>
      <c r="H1" s="1" t="b">
        <f>TRUE()</f>
        <v>1</v>
      </c>
      <c r="I1" s="1" t="b">
        <f>FALSE()</f>
        <v>0</v>
      </c>
      <c r="J1" s="26" t="s">
        <v>70</v>
      </c>
      <c r="K1" s="1" t="b">
        <f>TRUE()</f>
        <v>1</v>
      </c>
      <c r="L1" s="1" t="b">
        <f>FALSE()</f>
        <v>0</v>
      </c>
      <c r="M1" s="26" t="s">
        <v>72</v>
      </c>
      <c r="N1" s="1" t="b">
        <f>TRUE()</f>
        <v>1</v>
      </c>
      <c r="O1" s="1" t="b">
        <f>FALSE()</f>
        <v>0</v>
      </c>
      <c r="P1" s="26" t="s">
        <v>74</v>
      </c>
      <c r="Q1" s="1" t="b">
        <f>TRUE()</f>
        <v>1</v>
      </c>
      <c r="R1" s="1" t="b">
        <f>FALSE()</f>
        <v>0</v>
      </c>
      <c r="S1" s="26" t="s">
        <v>65</v>
      </c>
      <c r="T1" s="1" t="b">
        <f>FALSE()</f>
        <v>0</v>
      </c>
      <c r="U1" s="1" t="b">
        <f>FALSE()</f>
        <v>0</v>
      </c>
    </row>
    <row r="2" spans="1:21" x14ac:dyDescent="0.2">
      <c r="A2" s="26" t="s">
        <v>62</v>
      </c>
      <c r="B2" s="1" t="b">
        <f>FALSE()</f>
        <v>0</v>
      </c>
      <c r="C2" s="1" t="b">
        <f>FALSE()</f>
        <v>0</v>
      </c>
      <c r="D2" s="26" t="s">
        <v>66</v>
      </c>
      <c r="E2" s="1" t="b">
        <f>FALSE()</f>
        <v>0</v>
      </c>
      <c r="F2" s="1" t="b">
        <f>TRUE()</f>
        <v>1</v>
      </c>
      <c r="G2" s="26" t="s">
        <v>66</v>
      </c>
      <c r="H2" s="1" t="b">
        <f>FALSE()</f>
        <v>0</v>
      </c>
      <c r="I2" s="1" t="b">
        <f>TRUE()</f>
        <v>1</v>
      </c>
      <c r="J2" s="26" t="s">
        <v>66</v>
      </c>
      <c r="K2" s="1" t="b">
        <f>FALSE()</f>
        <v>0</v>
      </c>
      <c r="L2" s="1" t="b">
        <f>TRUE()</f>
        <v>1</v>
      </c>
      <c r="M2" s="26" t="s">
        <v>66</v>
      </c>
      <c r="N2" s="1" t="b">
        <f>FALSE()</f>
        <v>0</v>
      </c>
      <c r="O2" s="1" t="b">
        <f>TRUE()</f>
        <v>1</v>
      </c>
      <c r="P2" s="26" t="s">
        <v>66</v>
      </c>
      <c r="Q2" s="1" t="b">
        <f>FALSE()</f>
        <v>0</v>
      </c>
      <c r="R2" s="1" t="b">
        <f>TRUE()</f>
        <v>1</v>
      </c>
      <c r="S2" s="26" t="s">
        <v>76</v>
      </c>
      <c r="T2" s="1" t="b">
        <f>TRUE()</f>
        <v>1</v>
      </c>
      <c r="U2" s="1" t="b">
        <f>FALSE()</f>
        <v>0</v>
      </c>
    </row>
    <row r="3" spans="1:21" x14ac:dyDescent="0.2">
      <c r="A3" s="26" t="s">
        <v>63</v>
      </c>
      <c r="B3" s="1" t="b">
        <f>FALSE()</f>
        <v>0</v>
      </c>
      <c r="C3" s="1" t="b">
        <f>FALSE()</f>
        <v>0</v>
      </c>
      <c r="D3" s="1" t="s">
        <v>67</v>
      </c>
      <c r="E3" s="1"/>
      <c r="F3" s="1"/>
      <c r="G3" s="1" t="s">
        <v>69</v>
      </c>
      <c r="H3" s="1"/>
      <c r="I3" s="1"/>
      <c r="J3" s="1" t="s">
        <v>71</v>
      </c>
      <c r="K3" s="1"/>
      <c r="L3" s="1"/>
      <c r="M3" s="1" t="s">
        <v>73</v>
      </c>
      <c r="N3" s="1"/>
      <c r="O3" s="1"/>
      <c r="P3" s="1" t="s">
        <v>75</v>
      </c>
      <c r="Q3" s="1"/>
      <c r="R3" s="1"/>
      <c r="S3" s="1" t="s">
        <v>77</v>
      </c>
      <c r="T3" s="1"/>
      <c r="U3" s="1"/>
    </row>
    <row r="4" spans="1:21" x14ac:dyDescent="0.2">
      <c r="A4" s="1" t="s">
        <v>64</v>
      </c>
      <c r="B4" s="1"/>
      <c r="C4" s="1"/>
      <c r="D4" s="1"/>
      <c r="E4" s="1"/>
      <c r="F4" s="1"/>
      <c r="G4" s="1"/>
      <c r="H4" s="1"/>
      <c r="I4" s="1"/>
      <c r="J4" s="1"/>
      <c r="K4" s="1"/>
      <c r="L4" s="1"/>
      <c r="M4" s="1"/>
      <c r="N4" s="1"/>
      <c r="O4" s="1"/>
      <c r="P4" s="1"/>
      <c r="Q4" s="1"/>
      <c r="R4" s="1"/>
      <c r="S4" s="1"/>
      <c r="T4" s="1"/>
      <c r="U4" s="1"/>
    </row>
  </sheetData>
  <sheetProtection password="E36C" sheet="1" objects="1" scenarios="1" selectLockedCells="1" selectUnlockedCells="1"/>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14</vt:i4>
      </vt:variant>
    </vt:vector>
  </HeadingPairs>
  <TitlesOfParts>
    <vt:vector size="17" baseType="lpstr">
      <vt:lpstr>Instructions</vt:lpstr>
      <vt:lpstr>Summary</vt:lpstr>
      <vt:lpstr>1</vt:lpstr>
      <vt:lpstr>responseOption0</vt:lpstr>
      <vt:lpstr>responseOption1</vt:lpstr>
      <vt:lpstr>responseOption2</vt:lpstr>
      <vt:lpstr>responseOption3</vt:lpstr>
      <vt:lpstr>responseOption4</vt:lpstr>
      <vt:lpstr>responseOption5</vt:lpstr>
      <vt:lpstr>responseOption6</vt:lpstr>
      <vt:lpstr>responseValidationRulesGroup0</vt:lpstr>
      <vt:lpstr>responseValidationRulesGroup1</vt:lpstr>
      <vt:lpstr>responseValidationRulesGroup2</vt:lpstr>
      <vt:lpstr>responseValidationRulesGroup3</vt:lpstr>
      <vt:lpstr>responseValidationRulesGroup4</vt:lpstr>
      <vt:lpstr>responseValidationRulesGroup5</vt:lpstr>
      <vt:lpstr>responseValidationRulesGroup6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Questionnaire Response Template</dc:title>
  <dc:subject/>
  <dc:creator>Bonfire</dc:creator>
  <cp:keywords/>
  <dc:description/>
  <cp:lastModifiedBy>Ryon Coote</cp:lastModifiedBy>
  <dcterms:created xsi:type="dcterms:W3CDTF">2025-02-07T16:58:40Z</dcterms:created>
  <dcterms:modified xsi:type="dcterms:W3CDTF">2025-03-24T01:11:19Z</dcterms:modified>
  <cp:category/>
</cp:coreProperties>
</file>